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All Competencies" sheetId="1" r:id="rId3"/>
    <sheet state="visible" name="HOW TO USE THIS DOCUMENT" sheetId="2" r:id="rId4"/>
    <sheet state="visible" name="Table of Contents" sheetId="3" r:id="rId5"/>
    <sheet state="visible" name="Competency Learning Paths" sheetId="4" r:id="rId6"/>
    <sheet state="visible" name="Competencies 1-2" sheetId="5" r:id="rId7"/>
    <sheet state="visible" name="Competencies 3-4" sheetId="6" r:id="rId8"/>
    <sheet state="visible" name="Competencies 5-6" sheetId="7" r:id="rId9"/>
    <sheet state="visible" name="Competencies 7-8" sheetId="8" r:id="rId10"/>
    <sheet state="visible" name="Competencies 9-10" sheetId="9" r:id="rId11"/>
    <sheet state="visible" name="Competencies 11-12" sheetId="10" r:id="rId12"/>
    <sheet state="visible" name="Competencies 13-14" sheetId="11" r:id="rId13"/>
    <sheet state="visible" name="Competencies 15-16" sheetId="12" r:id="rId14"/>
    <sheet state="visible" name="Competencies 17-18" sheetId="13" r:id="rId15"/>
    <sheet state="visible" name="Competencies 19-20" sheetId="14" r:id="rId16"/>
    <sheet state="visible" name="Competencies 21-22" sheetId="15" r:id="rId17"/>
    <sheet state="visible" name="Competencies 23-24" sheetId="16" r:id="rId18"/>
    <sheet state="visible" name="Competencies 25-26" sheetId="17" r:id="rId19"/>
    <sheet state="visible" name="Competencies 27-28" sheetId="18" r:id="rId20"/>
    <sheet state="visible" name="Competency 29" sheetId="19" r:id="rId21"/>
  </sheets>
  <definedNames>
    <definedName hidden="1" localSheetId="0" name="_xlnm._FilterDatabase">'All Competencies'!$A$1:$G$2336</definedName>
  </definedNames>
  <calcPr/>
</workbook>
</file>

<file path=xl/sharedStrings.xml><?xml version="1.0" encoding="utf-8"?>
<sst xmlns="http://schemas.openxmlformats.org/spreadsheetml/2006/main" count="9978" uniqueCount="2035">
  <si>
    <t>Competencies in alphabet order</t>
  </si>
  <si>
    <t>Admin IDs</t>
  </si>
  <si>
    <t>Aligned Courses</t>
  </si>
  <si>
    <t>Managerial Levels</t>
  </si>
  <si>
    <t>Proficiency Level</t>
  </si>
  <si>
    <t>Duration</t>
  </si>
  <si>
    <t>Aligned Learning Paths</t>
  </si>
  <si>
    <t>Accountability and Results-Oriented</t>
  </si>
  <si>
    <t>Course IDs</t>
  </si>
  <si>
    <t>Courses</t>
  </si>
  <si>
    <t>Levels</t>
  </si>
  <si>
    <t>Duration
 HH:MM:SS</t>
  </si>
  <si>
    <t>Learning Paths</t>
  </si>
  <si>
    <t>Good to Great: Why Some Companies Make the Leap and Others Don't (Blinkist Summary)</t>
  </si>
  <si>
    <t>C-Suite</t>
  </si>
  <si>
    <t>Intermediate</t>
  </si>
  <si>
    <t xml:space="preserve">Building Accountability and Becoming Results Oriented </t>
  </si>
  <si>
    <t>Prioritizing Effectively as a Leader</t>
  </si>
  <si>
    <t>Senior Manager</t>
  </si>
  <si>
    <t>Beginner + Intermediate</t>
  </si>
  <si>
    <t>Become a High Performer</t>
  </si>
  <si>
    <t>Communicating to Drive People to Take Action</t>
  </si>
  <si>
    <t>Become a Successful Remote Worker</t>
  </si>
  <si>
    <t>Goal Setting: Objectives and Key Results (OKRs)</t>
  </si>
  <si>
    <t>Improve Your Organizational Skills</t>
  </si>
  <si>
    <t>Learning Agility</t>
  </si>
  <si>
    <t>General</t>
  </si>
  <si>
    <t>Remote Working: Setting Yourself and Your Teams Up for Success</t>
  </si>
  <si>
    <t>Strategic Focus for Managers</t>
  </si>
  <si>
    <t>Building Resilience as a Leader</t>
  </si>
  <si>
    <t>Building a Trustworthy Reputation</t>
  </si>
  <si>
    <t>Individual Contributor</t>
  </si>
  <si>
    <t>Humane Productivity</t>
  </si>
  <si>
    <t>How to Build Virtual Accountability</t>
  </si>
  <si>
    <t>Manager</t>
  </si>
  <si>
    <t>Holding Your Team Accountable</t>
  </si>
  <si>
    <t>Demonstrating Accountability as a Leader</t>
  </si>
  <si>
    <t>Be More Productive: Take Small Steps, Have Big Goals</t>
  </si>
  <si>
    <t>Beginner</t>
  </si>
  <si>
    <t>Developing a Learning Mindset</t>
  </si>
  <si>
    <t>Holding Yourself Accountable</t>
  </si>
  <si>
    <t>Solving Business Problems</t>
  </si>
  <si>
    <t>Proven Tips for Managing Your Time</t>
  </si>
  <si>
    <t>Time Management Tips: Scheduling</t>
  </si>
  <si>
    <t>Time Management Tips: Teamwork</t>
  </si>
  <si>
    <t>Time Management Tips: Following Through</t>
  </si>
  <si>
    <t>Productivity Tips: Finding Your Rhythm</t>
  </si>
  <si>
    <t>Productivity Tips: Using Technology</t>
  </si>
  <si>
    <t>Productivity Tips: Finding Your Productive Mindset</t>
  </si>
  <si>
    <t>Productivity Tips: Setting Up Your Workplace</t>
  </si>
  <si>
    <t>Productivity Tips: Taking Control of Email</t>
  </si>
  <si>
    <t>Building a Better To-Do List</t>
  </si>
  <si>
    <t>15 Secrets Successful People Know About Time Management (getAbstract Summary)</t>
  </si>
  <si>
    <t>How to Slow Down and Be More Productive</t>
  </si>
  <si>
    <t>Productivity Principles to Make Time for What’s Important</t>
  </si>
  <si>
    <t>Making Big Goals Achievable</t>
  </si>
  <si>
    <t>Time Management Tips: Communication</t>
  </si>
  <si>
    <t>Subtle Shifts in Thinking for Tremendous Resilience</t>
  </si>
  <si>
    <t>Productivity: Prioritizing at Work</t>
  </si>
  <si>
    <t>Creating Lasting Habits</t>
  </si>
  <si>
    <t>How to Effectively Deliver Criticism</t>
  </si>
  <si>
    <t>Dealing with Disappointment in Your Role</t>
  </si>
  <si>
    <t>Unlocking Your Potential</t>
  </si>
  <si>
    <t>Prioritizing Tasks for Maximum Impact</t>
  </si>
  <si>
    <t>The Five Conversations That Deliver Accountability and Performance</t>
  </si>
  <si>
    <t>Time Management for Busy People</t>
  </si>
  <si>
    <t>How to Organize Your Time and Your Life</t>
  </si>
  <si>
    <t>Components of Effective Learning</t>
  </si>
  <si>
    <t>Powerful Prioritization with the 80/20 Rule</t>
  </si>
  <si>
    <t>Overcoming Perfectionism</t>
  </si>
  <si>
    <t>How to Get Things Done Ahead of Deadlines</t>
  </si>
  <si>
    <t>The Surprising Upside of Procrastination</t>
  </si>
  <si>
    <t>Secrets of Effective Prioritization</t>
  </si>
  <si>
    <t>How to Manage Your Attention and Your Priorities</t>
  </si>
  <si>
    <t>Focus on What Matters and Minimize Distraction</t>
  </si>
  <si>
    <t>Learn to Control Your Attention</t>
  </si>
  <si>
    <t>Creating Behavioral Change that Lasts</t>
  </si>
  <si>
    <t>Get More Done in Less Time</t>
  </si>
  <si>
    <t>Mixtape: Learning Highlights on Personal Effectiveness</t>
  </si>
  <si>
    <t>Overcome Overthinking</t>
  </si>
  <si>
    <t>Building Resilience</t>
  </si>
  <si>
    <t>Delivering Results Effectively</t>
  </si>
  <si>
    <t>Enhancing Resilience</t>
  </si>
  <si>
    <t>Powerless to Powerful: Taking Control</t>
  </si>
  <si>
    <t>Prioritizing Your Tasks</t>
  </si>
  <si>
    <t>Stepping Up: How Taking Responsibility Changes Everything (getAbstract Summary)</t>
  </si>
  <si>
    <t>What to Do When There's Too Much to Do (getAbstract Summary)</t>
  </si>
  <si>
    <t>Improving the Value of Your Time</t>
  </si>
  <si>
    <t>Balancing Work and Life as a Work-from-Home Parent</t>
  </si>
  <si>
    <t>Business Ethics</t>
  </si>
  <si>
    <t>Working from Home: Strategies for Success</t>
  </si>
  <si>
    <t>The Power of Lists to Get Stuff Done</t>
  </si>
  <si>
    <t>Asking for Feedback as an Employee</t>
  </si>
  <si>
    <t>Enhance Your Productivity with Effective Note-Taking</t>
  </si>
  <si>
    <t>How to Motivate Yourself to Do What’s Most Important</t>
  </si>
  <si>
    <t>Mastering Self-Leadership</t>
  </si>
  <si>
    <t>Managing Up as an Employee</t>
  </si>
  <si>
    <t>One-Minute Habits for Success</t>
  </si>
  <si>
    <t>Habits to Win Every Day</t>
  </si>
  <si>
    <t>Flexible Working (Blinkist Summary)</t>
  </si>
  <si>
    <t>Hyperfocus (Blinkist Summary)</t>
  </si>
  <si>
    <t>The Three Secrets to Effective Time Investment (Blinkist Summary)</t>
  </si>
  <si>
    <t>The Procrastination Cure (Blinkist Summary)</t>
  </si>
  <si>
    <t>High Performance Habits (Blinkist Summary)</t>
  </si>
  <si>
    <t>Resilience Strategies for Optimal Performance</t>
  </si>
  <si>
    <t>Time Management Fundamentals</t>
  </si>
  <si>
    <t>Developing Resourcefulness</t>
  </si>
  <si>
    <t>Adaptability</t>
  </si>
  <si>
    <t>Creating a Culture of Change</t>
  </si>
  <si>
    <t>Advanced</t>
  </si>
  <si>
    <t>Developing Resilience and Grit</t>
  </si>
  <si>
    <t>The New Rules of Work</t>
  </si>
  <si>
    <t>Leading during Times of Change</t>
  </si>
  <si>
    <t>Agile Software Development: Creating an Agile Culture</t>
  </si>
  <si>
    <t>Manage Change and Develop Your Adaptability Skills</t>
  </si>
  <si>
    <t>Aaron Dignan on Transformational Change</t>
  </si>
  <si>
    <t>Master In-Demand Professional Soft Skills</t>
  </si>
  <si>
    <t>Managing Globally</t>
  </si>
  <si>
    <t>The Hard Thing About Hard Things: Building a Business When There Are No Easy Answers (Blinkist Summary)</t>
  </si>
  <si>
    <t>Coaching Yourself and Your Team from Uncertainty to Action</t>
  </si>
  <si>
    <t>Organizational Learning and Development</t>
  </si>
  <si>
    <t>Communicating in Times of Change</t>
  </si>
  <si>
    <t>Unlock Your Team's Creativity</t>
  </si>
  <si>
    <t>Managing Organizational Change for Managers</t>
  </si>
  <si>
    <t>Developing Adaptability as a Manager</t>
  </si>
  <si>
    <t>Leading Your Team Through Change</t>
  </si>
  <si>
    <t>Leading in the Moment</t>
  </si>
  <si>
    <t>Building the Resources for Resilience</t>
  </si>
  <si>
    <t>Staying Positive in the Face of Negativity</t>
  </si>
  <si>
    <t>Improve Cognitive Flexibility at Work</t>
  </si>
  <si>
    <t>Adaptive Leadership for VUCA Challenges</t>
  </si>
  <si>
    <t>Insights on Working from Home’s Largest-Ever Experiment</t>
  </si>
  <si>
    <t>How to Slash Anxiety and Keep Positivity Flowing</t>
  </si>
  <si>
    <t>Negotiating Work Flexibility</t>
  </si>
  <si>
    <t>Managing Stress</t>
  </si>
  <si>
    <t>Avoiding Burnout</t>
  </si>
  <si>
    <t>Get Unstuck from a Career Rut</t>
  </si>
  <si>
    <t>Managing Self-Doubt to Tackle Bigger Challenges</t>
  </si>
  <si>
    <t>Creating Flow</t>
  </si>
  <si>
    <t>Staying Organized While Working Remotely or On-Site</t>
  </si>
  <si>
    <t>Creating Success from Failures</t>
  </si>
  <si>
    <t>Adopting the Habits of Elite Performers</t>
  </si>
  <si>
    <t>How to Use Rejection to Your Advantage</t>
  </si>
  <si>
    <t>Simple Habits for Complex Times (getAbstract Summary)</t>
  </si>
  <si>
    <t>Using Resilience to Overcome the (Seemingly) Impossible</t>
  </si>
  <si>
    <t>Conquering Freak-Outs and the Fear of Failure</t>
  </si>
  <si>
    <t>Harnessing Change to Unleash Your Potential</t>
  </si>
  <si>
    <t>Embracing Times of Uncertainty</t>
  </si>
  <si>
    <t>Preparing to Lead: Developing Mental Toughness in Yourself</t>
  </si>
  <si>
    <t>Managing Stress for Positive Change</t>
  </si>
  <si>
    <t>Learning from Failure</t>
  </si>
  <si>
    <t>Cultivating a Growth Mindset</t>
  </si>
  <si>
    <t>Embracing Unexpected Change</t>
  </si>
  <si>
    <t>How to be an Adaptable Employee During Change and Uncertainty</t>
  </si>
  <si>
    <t>Managing Career Burnout</t>
  </si>
  <si>
    <t>Enhance Productivity in a Hybrid Work Environment</t>
  </si>
  <si>
    <t>Reframing: The Power of Changing Your Perspective</t>
  </si>
  <si>
    <t>Reshuffle: A Special Series on the New World of Work</t>
  </si>
  <si>
    <t>Adaptive Project Leadership</t>
  </si>
  <si>
    <t>Cultivating Mental Agility</t>
  </si>
  <si>
    <t>Building and Managing Effective Teams</t>
  </si>
  <si>
    <t>CMO Foundations: Creating a Marketing Culture</t>
  </si>
  <si>
    <t>Build a Company Learning and Development Program</t>
  </si>
  <si>
    <t xml:space="preserve">Build and Manage Effective Teams </t>
  </si>
  <si>
    <t>Reid Hoffman and Chris Yeh on Creating an Alliance with Employees</t>
  </si>
  <si>
    <t>Fostering Collaboration</t>
  </si>
  <si>
    <t>Doing Good to Build a Profitable Business</t>
  </si>
  <si>
    <t>Improve Your Coaching Skills as a Manager</t>
  </si>
  <si>
    <t>Creating a High Performance Culture</t>
  </si>
  <si>
    <t>Managing Performance</t>
  </si>
  <si>
    <t>The Long-Distance Leader (getAbstract Summary)</t>
  </si>
  <si>
    <t>Improve Your Teamwork Skills</t>
  </si>
  <si>
    <t>Rewarding Employee Performance</t>
  </si>
  <si>
    <t>Managing New Managers</t>
  </si>
  <si>
    <t>Building Your Team</t>
  </si>
  <si>
    <t>Setting Team and Employee Goals Using SMART Methodology</t>
  </si>
  <si>
    <t>Culture of Kaizen</t>
  </si>
  <si>
    <t>The Practices of High-Performing Employees</t>
  </si>
  <si>
    <t>How to Give and Receive Useful Feedback Every Month</t>
  </si>
  <si>
    <t>Productive Leadership</t>
  </si>
  <si>
    <t>Identify and Unleash Potential in Your Employees</t>
  </si>
  <si>
    <t>Virtual and Hybrid Meeting Essentials</t>
  </si>
  <si>
    <t>Leading Virtual Meetings</t>
  </si>
  <si>
    <t>Coaching and Developing Employees</t>
  </si>
  <si>
    <t>Managing Virtual Teams</t>
  </si>
  <si>
    <t>Motivating and Engaging Employees</t>
  </si>
  <si>
    <t>Leading Inclusive Teams</t>
  </si>
  <si>
    <t>Becoming a Manager Your Team Loves</t>
  </si>
  <si>
    <t>Building High-Performance Teams</t>
  </si>
  <si>
    <t>Developing Your Team Members</t>
  </si>
  <si>
    <t>Facilitation Skills for Managers and Leaders</t>
  </si>
  <si>
    <t>Leading and Working in Teams</t>
  </si>
  <si>
    <t>Managing a Cross-Functional Team</t>
  </si>
  <si>
    <t>Managing a Diverse Team</t>
  </si>
  <si>
    <t>Managing Team Conflict</t>
  </si>
  <si>
    <t>Practicing Fairness as a Manager</t>
  </si>
  <si>
    <t>Having Career Conversations with Your Team</t>
  </si>
  <si>
    <t>Managing for Better Ideas</t>
  </si>
  <si>
    <t>Succeeding as a First-Time Tech Manager</t>
  </si>
  <si>
    <t>Be a Better Manager by Motivating Your Team</t>
  </si>
  <si>
    <t>A Strengths-Based Approach to Managing Your Team</t>
  </si>
  <si>
    <t>Strategies for Effective Leadership Teams</t>
  </si>
  <si>
    <t>Making Hybrid Teams Work</t>
  </si>
  <si>
    <t>Level Up Your Remote Team Experience</t>
  </si>
  <si>
    <t>Work on Purpose</t>
  </si>
  <si>
    <t>Top of Mind: Use Content to Unleash Your Influence (getAbstract Summary)</t>
  </si>
  <si>
    <t>Motivating Your Team to Learn</t>
  </si>
  <si>
    <t>The Six Morning Habits of High Performers</t>
  </si>
  <si>
    <t>Teamwork Foundations</t>
  </si>
  <si>
    <t>Creating a Culture of Learning</t>
  </si>
  <si>
    <t>Leading Remote Projects and Virtual Teams</t>
  </si>
  <si>
    <t>Communication within Teams</t>
  </si>
  <si>
    <t>How to Inspire and Develop Your Direct Reports</t>
  </si>
  <si>
    <t>A Navy SEAL's Surprising Key to Building Unstoppable Teams: Caring</t>
  </si>
  <si>
    <t>How to Stop Wasting Time in Meetings</t>
  </si>
  <si>
    <t>The Art of Leadership (getAbstract Summary)</t>
  </si>
  <si>
    <t>Boosting Your Team's Productivity</t>
  </si>
  <si>
    <t>Shane Snow on Dream Teams</t>
  </si>
  <si>
    <t>A Great Place to Work for All (getAbstract Summary)</t>
  </si>
  <si>
    <t>Business Chemistry (Blinkist Summary)</t>
  </si>
  <si>
    <t>Essentials of Team Collaboration</t>
  </si>
  <si>
    <t>Best Practices for New People Leaders</t>
  </si>
  <si>
    <t>Backgrounder: Leadership Conversations with Different Personalities</t>
  </si>
  <si>
    <t>Enhancing Team Innovation</t>
  </si>
  <si>
    <t>Building and Managing a High-Performing Sales Team</t>
  </si>
  <si>
    <t>Creating Winning Teams</t>
  </si>
  <si>
    <t>Creating an Adaptable Team</t>
  </si>
  <si>
    <t>Leveraging Virtual and Hybrid Teams for Improved Effectiveness</t>
  </si>
  <si>
    <t>Creating the Environment for Productive Virtual Teams</t>
  </si>
  <si>
    <t>Building Trust and Collaborating with Others</t>
  </si>
  <si>
    <t>Inclusive Leadership</t>
  </si>
  <si>
    <t>Advance Your Skills as an Individual Contributor</t>
  </si>
  <si>
    <t>Creating a Culture of Collaboration</t>
  </si>
  <si>
    <t>Become an Inclusive Leader</t>
  </si>
  <si>
    <t>Employee Experience</t>
  </si>
  <si>
    <t>Digital Transformation in Practice: Virtual Collaboration Tools</t>
  </si>
  <si>
    <t>Communicating Values</t>
  </si>
  <si>
    <t>Leading Together: Coleading a Project, Team, or Organization</t>
  </si>
  <si>
    <t>Humble Leadership: The Power of Relationships, Openness, and Trust (getAbstract Summary)</t>
  </si>
  <si>
    <t>Supporting a Grieving Employee: A Manager's Guide</t>
  </si>
  <si>
    <t>What Are Your Blind Spots? (getAbstract Summary)</t>
  </si>
  <si>
    <t>The Art of Connection: 7 Relationship-Building Skills Every Leader Needs Now (getAbstract Summary)</t>
  </si>
  <si>
    <t>Managing and Working with a Technical Team for Nontechnical Professionals</t>
  </si>
  <si>
    <t>Igniting Emotional Engagement</t>
  </si>
  <si>
    <t>Connecting with Executives</t>
  </si>
  <si>
    <t>Managing in a Matrixed Organization</t>
  </si>
  <si>
    <t>Building Connection and Engagement in Virtual Teams</t>
  </si>
  <si>
    <t>How to Develop Friendships and Connect Meaningfully with Work Colleagues</t>
  </si>
  <si>
    <t>A Guide to ERGs (Employee Resource Groups)</t>
  </si>
  <si>
    <t>Collaborative Workflows for Editors and Designers</t>
  </si>
  <si>
    <t>Cross-Functional Sales Teams</t>
  </si>
  <si>
    <t>How to Build Rapport Quickly</t>
  </si>
  <si>
    <t>Become a Super-Collaborator</t>
  </si>
  <si>
    <t>Collaboration Principles and Process</t>
  </si>
  <si>
    <t>Communicating with Empathy</t>
  </si>
  <si>
    <t>Developing Self-Awareness</t>
  </si>
  <si>
    <t>Developing Your Emotional Intelligence</t>
  </si>
  <si>
    <t>Interpersonal Communication</t>
  </si>
  <si>
    <t>Working on a Cross-Functional Team</t>
  </si>
  <si>
    <t>Women Transforming Tech: Networking</t>
  </si>
  <si>
    <t>Social Success at Work</t>
  </si>
  <si>
    <t>The Surprising Power of Seeing People as People</t>
  </si>
  <si>
    <t>Inclusive Mindset for Committed Allies</t>
  </si>
  <si>
    <t>Leveraging Your Relationship Capital</t>
  </si>
  <si>
    <t>The Ultimate Guide to Professional Networking</t>
  </si>
  <si>
    <t>21 Opportunities for Better Networking</t>
  </si>
  <si>
    <t>Embracing Conflict as a Gift</t>
  </si>
  <si>
    <t>Mindful Team Building</t>
  </si>
  <si>
    <t>The Value of Employee Resource Groups</t>
  </si>
  <si>
    <t>Connecting and Collaborating in a Virtual or Hybrid Workplace</t>
  </si>
  <si>
    <t>How to Work with a Micromanager</t>
  </si>
  <si>
    <t>Communicating with Transparency</t>
  </si>
  <si>
    <t>Being an Effective Team Member</t>
  </si>
  <si>
    <t>Building Trust</t>
  </si>
  <si>
    <t>Giving and Receiving Feedback</t>
  </si>
  <si>
    <t>Improving Your Listening Skills</t>
  </si>
  <si>
    <t>Microsoft Viva First Look</t>
  </si>
  <si>
    <t>Learning to Say No with Confidence and Grace</t>
  </si>
  <si>
    <t>Effective Listening</t>
  </si>
  <si>
    <t>Professional Networking</t>
  </si>
  <si>
    <t>Why Trust Matters with Rachel Botsman</t>
  </si>
  <si>
    <t>Dealing with Grief, Loss, and Change as an Employee</t>
  </si>
  <si>
    <t>Skills for Inclusive Conversations</t>
  </si>
  <si>
    <t>Building Relationships While Working from Home</t>
  </si>
  <si>
    <t>Redesigning How We Work in 2021</t>
  </si>
  <si>
    <t>Creating a Connection Culture</t>
  </si>
  <si>
    <t>Business Collaboration in the Modern Workplace</t>
  </si>
  <si>
    <t>Grit: How Teams Persevere to Accomplish Great Goals</t>
  </si>
  <si>
    <t>Empathy at Work</t>
  </si>
  <si>
    <t>Developing Business Partnerships</t>
  </si>
  <si>
    <t>Communication and Interpersonal Influence</t>
  </si>
  <si>
    <t>Communicating during Times of Change</t>
  </si>
  <si>
    <t>Create a Successful Pitch for Investors</t>
  </si>
  <si>
    <t>CMO Foundations: Working with Leadership and Board-of-Directors</t>
  </si>
  <si>
    <t>Create and Deliver Engaging Presentations</t>
  </si>
  <si>
    <t>Crisis Communication for HR</t>
  </si>
  <si>
    <t>Develop Conflict Management and Resolution Skills</t>
  </si>
  <si>
    <t>Organizational Thought Leadership</t>
  </si>
  <si>
    <t>Develop, Motivate, and Retain Employees</t>
  </si>
  <si>
    <t>Develop Your Communication and Interpersonal Influence Skills</t>
  </si>
  <si>
    <t>Organization Communication</t>
  </si>
  <si>
    <t>Strategic Negotiation</t>
  </si>
  <si>
    <t>How to Engage Meaningfully in Allyship and Anti-Racism</t>
  </si>
  <si>
    <t>Navigating Politics as a Senior Leader</t>
  </si>
  <si>
    <t>Improve Your Interoffice Politics Skills</t>
  </si>
  <si>
    <t>Leading from the Middle</t>
  </si>
  <si>
    <t>Reputation Risk Management</t>
  </si>
  <si>
    <t>Navigating Election Season at Work</t>
  </si>
  <si>
    <t>Negotiating with Agility</t>
  </si>
  <si>
    <t>Visual Communication for Business Professionals</t>
  </si>
  <si>
    <t>Stories Every Leader Should Tell</t>
  </si>
  <si>
    <t>Becoming a Thought Leader</t>
  </si>
  <si>
    <t>Taking Charge of Your Leadership Conversations</t>
  </si>
  <si>
    <t>Critical Thinking for More Effective Communication</t>
  </si>
  <si>
    <t>Creating a Culture That Inspires Your Employees</t>
  </si>
  <si>
    <t>Communicating In the Language of Leadership</t>
  </si>
  <si>
    <t>Influence versus Manipulation: The Ethics of Persuasion</t>
  </si>
  <si>
    <t>Body Language for Leaders</t>
  </si>
  <si>
    <t>Communicating Internally during Times of Uncertainty</t>
  </si>
  <si>
    <t>Leading with Applied Improv</t>
  </si>
  <si>
    <t>Leading with Intelligent Disobedience</t>
  </si>
  <si>
    <t>Executive Presence on Video Conference Calls</t>
  </si>
  <si>
    <t>Improving Your Leadership Communications</t>
  </si>
  <si>
    <t>Compassionate Leadership</t>
  </si>
  <si>
    <t>Integrated Marketing Communication Strategies</t>
  </si>
  <si>
    <t>How to Speak Up Against Racism at Work</t>
  </si>
  <si>
    <t>Communication Foundations</t>
  </si>
  <si>
    <t>Learning to Be Approachable</t>
  </si>
  <si>
    <t>Negotiation Skills</t>
  </si>
  <si>
    <t>Persuading Others</t>
  </si>
  <si>
    <t>Women Transforming Tech: Finding Sponsors</t>
  </si>
  <si>
    <t>Women Transforming Tech: Getting Strategic with Your Career</t>
  </si>
  <si>
    <t>Women Transforming Tech: Voices from the Field</t>
  </si>
  <si>
    <t>Own Your Voice: Improve Presentations and Executive Presence</t>
  </si>
  <si>
    <t>Learning Webex Meetings</t>
  </si>
  <si>
    <t>Find Your Passion: How Padma Lakshmi Found Hers</t>
  </si>
  <si>
    <t>Jeffrey Gitomer’s Little Red Book of Sales Answers (getAbstract Summary)</t>
  </si>
  <si>
    <t>Crucial Conversations (getAbstract Summary)</t>
  </si>
  <si>
    <t>How to Crush Self-Doubt and Build Self-Confidence</t>
  </si>
  <si>
    <t>Becoming an Impactful and Influential Leader</t>
  </si>
  <si>
    <t>The Power of Introverts</t>
  </si>
  <si>
    <t>The Upward Spiral of Compassion</t>
  </si>
  <si>
    <t>The Science of Compassion: An Introduction</t>
  </si>
  <si>
    <t>Inspirational Leadership Skills: Practical Motivational Leadership</t>
  </si>
  <si>
    <t>Constructive Candor: Important Conversations with Coworkers, Family, and Friends</t>
  </si>
  <si>
    <t>How to Win Arguments</t>
  </si>
  <si>
    <t>Media Relations Foundations</t>
  </si>
  <si>
    <t>Practical Influencing Techniques</t>
  </si>
  <si>
    <t>Becoming Assertive: Advocate for Your Interests</t>
  </si>
  <si>
    <t>Centered Communication: Get Better Results from Your Conversations</t>
  </si>
  <si>
    <t>Three Tips for Managing Egos and Difficult Emotions</t>
  </si>
  <si>
    <t>How to Be Both Assertive and Likable</t>
  </si>
  <si>
    <t>Influence Without Authority (getAbstract Summary)</t>
  </si>
  <si>
    <t>Articulating Your Value</t>
  </si>
  <si>
    <t>How to Persuade When Facts Don't Seem to Matter</t>
  </si>
  <si>
    <t>How to Listen and How to Be Heard (getAbstract Summary)</t>
  </si>
  <si>
    <t>How to Speak So People Want to Listen</t>
  </si>
  <si>
    <t>Becoming a Great Conversationalist</t>
  </si>
  <si>
    <t>Talking Boldly: When Inclusion Meets Politics at the Office</t>
  </si>
  <si>
    <t>Building Inclusive Work Communities</t>
  </si>
  <si>
    <t>Telling Stories That Stick</t>
  </si>
  <si>
    <t>Communicating through Disagreement</t>
  </si>
  <si>
    <t>Asking for and Getting What You Want</t>
  </si>
  <si>
    <t>Negotiation Foundations</t>
  </si>
  <si>
    <t>Presenting Technical Information with Stories</t>
  </si>
  <si>
    <t>Building Business Relationships</t>
  </si>
  <si>
    <t>Preparing for Successful Communication</t>
  </si>
  <si>
    <t>Leading with Kindness and Strength</t>
  </si>
  <si>
    <t>Successful Networking</t>
  </si>
  <si>
    <t>Building Your Visibility as a Leader</t>
  </si>
  <si>
    <t>Advanced Business Development: Communication and Negotiation</t>
  </si>
  <si>
    <t>Use Your Strengths for Impact and Influence at Work</t>
  </si>
  <si>
    <t>We Need to Talk (Blinkist Summary)</t>
  </si>
  <si>
    <t>How to Talk to Anyone (Blinkist Summary)</t>
  </si>
  <si>
    <t>Managing Office Politics</t>
  </si>
  <si>
    <t>Communicating with Confidence</t>
  </si>
  <si>
    <t>Starting a Memorable Conversation</t>
  </si>
  <si>
    <t>Asserting Yourself, an Empowered Choice</t>
  </si>
  <si>
    <t>Zoom: Leading Effective and Engaging Calls</t>
  </si>
  <si>
    <t>Complete Confidence in Minutes: Weekly</t>
  </si>
  <si>
    <t>How to Own a Room</t>
  </si>
  <si>
    <t>Difficult Conversations: Talking About Race at Work</t>
  </si>
  <si>
    <t>Speaking Up At Work</t>
  </si>
  <si>
    <t>Difficult Conversations about Politics at Work</t>
  </si>
  <si>
    <t>The Step-by-Step Guide to Building your Thought Leadership on LinkedIn</t>
  </si>
  <si>
    <t>Listen to Lead</t>
  </si>
  <si>
    <t>Having Powerful, Advanced Conversations</t>
  </si>
  <si>
    <t>Managing Your Emotions at Work</t>
  </si>
  <si>
    <t>Backgrounder: Netiquette</t>
  </si>
  <si>
    <t>The 10 Essentials of Influence and Persuasion</t>
  </si>
  <si>
    <t>Writing and Delivering Speeches</t>
  </si>
  <si>
    <t>How to Stand Out Remotely</t>
  </si>
  <si>
    <t>Communicating with Emotional Intelligence</t>
  </si>
  <si>
    <t>Uncovering Your Authentic Self at Work</t>
  </si>
  <si>
    <t>Influencing Others</t>
  </si>
  <si>
    <t>Communicating Across Cultures Virtually</t>
  </si>
  <si>
    <t>Unlocking Authentic Communication in a Culturally-Diverse Workplace</t>
  </si>
  <si>
    <t>Conflict Management and Conflict Resolution</t>
  </si>
  <si>
    <t>Managing in Difficult Times</t>
  </si>
  <si>
    <t xml:space="preserve">Develop Conflict Management and Resolution Skills </t>
  </si>
  <si>
    <t>Managing Conflict: A Practical Guide to Resolution in the Workplace (getAbstract Summary)</t>
  </si>
  <si>
    <t>Crisis Communication</t>
  </si>
  <si>
    <t>Succeeding in Sales During Times of Volatility</t>
  </si>
  <si>
    <t>Difficult Situations: Solutions for Managers</t>
  </si>
  <si>
    <t>Going to Extremes: How Like Minds Unite and Divide (getAbstract Summary)</t>
  </si>
  <si>
    <t>Human Resources: Managing Employee Problems</t>
  </si>
  <si>
    <t>Leading through Relationships</t>
  </si>
  <si>
    <t>Managing Employee Performance Problems</t>
  </si>
  <si>
    <t>Having Difficult Conversations: A Guide for Managers</t>
  </si>
  <si>
    <t>Radical Candor (Blinkist Summary)</t>
  </si>
  <si>
    <t>Dealing with Microaggression as an Employee</t>
  </si>
  <si>
    <t>De-Escalating Conversations for Customer Service</t>
  </si>
  <si>
    <t>How to Resolve Conflicts</t>
  </si>
  <si>
    <t>How to Proactively Manage Conflict as an Employee</t>
  </si>
  <si>
    <t>Conflict Resolution Foundations</t>
  </si>
  <si>
    <t>Dealing with Difficult People in Your Office</t>
  </si>
  <si>
    <t>How to Manage High-Stakes Conflict</t>
  </si>
  <si>
    <t>How to Use Negotiation Jiu Jitsu to Resolve Conflicts and Persuade</t>
  </si>
  <si>
    <t>Mixtape: Highlights from LinkedIn Learning Courses</t>
  </si>
  <si>
    <t>Fred Kofman on Managing Conflict</t>
  </si>
  <si>
    <t>Having Difficult Conversations</t>
  </si>
  <si>
    <t>Improving Your Conflict Competence</t>
  </si>
  <si>
    <t>Leading in Crisis</t>
  </si>
  <si>
    <t>Marketing During a Crisis</t>
  </si>
  <si>
    <t>How to Give Negative Feedback to Senior Colleagues</t>
  </si>
  <si>
    <t>Managing Misconduct in the Workplace</t>
  </si>
  <si>
    <t>Content Marketing, Digital Marketing, and Marketing Strategies</t>
  </si>
  <si>
    <t>Pricing Strategy: Value-Based Pricing</t>
  </si>
  <si>
    <t>Become an AMA Professional Certified Marketer in Digital Marketing</t>
  </si>
  <si>
    <t>Become a Content Strategist</t>
  </si>
  <si>
    <t>CMO Foundations: Measuring Marketing Effectiveness (ROI)</t>
  </si>
  <si>
    <t>Become a Digital Advertising Specialist</t>
  </si>
  <si>
    <t>Blue Ocean Shift: Beyond Competing (Blinkist Summary)</t>
  </si>
  <si>
    <t>Become a Digital Marketing Specialist</t>
  </si>
  <si>
    <t>Brand Leadership: Building Brand and Culture</t>
  </si>
  <si>
    <t>Become a Digital Marketer</t>
  </si>
  <si>
    <t>Leading a Marketing Team</t>
  </si>
  <si>
    <t>Become a Marketing Coordinator</t>
  </si>
  <si>
    <t>SEO: Link Building</t>
  </si>
  <si>
    <t>Become a Marketing Specialist</t>
  </si>
  <si>
    <t>Marketing Tools: Growth Marketing</t>
  </si>
  <si>
    <t>Become an Online Marketing Manager</t>
  </si>
  <si>
    <t>Social Media Marketing Tips</t>
  </si>
  <si>
    <t>Become a Public Relations Specialist</t>
  </si>
  <si>
    <t>Job Interview Tips for Marketing Managers</t>
  </si>
  <si>
    <t>Become a Social Media Advertising Specialist</t>
  </si>
  <si>
    <t>Advertising on LinkedIn</t>
  </si>
  <si>
    <t>Become a Social Media Marketer</t>
  </si>
  <si>
    <t>Become a Marketing Manager</t>
  </si>
  <si>
    <t>SEO: Competitive Analysis</t>
  </si>
  <si>
    <t>Develop Your Marketing Skills</t>
  </si>
  <si>
    <t>Marketing Tools: SEO</t>
  </si>
  <si>
    <t>Improve your Digital Marketing Skills</t>
  </si>
  <si>
    <t>Building an Integrated Online Marketing Plan</t>
  </si>
  <si>
    <t>Master Digital Marketing</t>
  </si>
  <si>
    <t>Advanced SEO: Search Factors</t>
  </si>
  <si>
    <t>Advanced Product Marketing</t>
  </si>
  <si>
    <t>Lead Generation: Social Media</t>
  </si>
  <si>
    <t>Advanced Google Analytics</t>
  </si>
  <si>
    <t>Advertising on Facebook: Advanced</t>
  </si>
  <si>
    <t>Advanced Content Marketing</t>
  </si>
  <si>
    <t>Advanced Google Ads</t>
  </si>
  <si>
    <t>Advanced Facebook Advertising</t>
  </si>
  <si>
    <t>Digital Marketing Trends</t>
  </si>
  <si>
    <t>Growth Hacking Foundations</t>
  </si>
  <si>
    <t>Lifecycle Marketing Foundations</t>
  </si>
  <si>
    <t>Marketing Your Side Hustle</t>
  </si>
  <si>
    <t>Marketing Tips</t>
  </si>
  <si>
    <t>Marketing to Humans</t>
  </si>
  <si>
    <t>Marketing on LinkedIn: The Sophisticated Marketer's Guide</t>
  </si>
  <si>
    <t>Building a Creative Online Community</t>
  </si>
  <si>
    <t>Social Media Video for Business and Marketing</t>
  </si>
  <si>
    <t>Creating Marketing Objectives</t>
  </si>
  <si>
    <t>Determining Market Size for Your Product or Service</t>
  </si>
  <si>
    <t>Social Media Marketing Tips(2019)</t>
  </si>
  <si>
    <t>Marketing Foundations: Automation</t>
  </si>
  <si>
    <t>Content Marketing: Newsletters</t>
  </si>
  <si>
    <t>Identifying Your Target Market</t>
  </si>
  <si>
    <t>Market Research Foundations</t>
  </si>
  <si>
    <t>Marketing Foundations</t>
  </si>
  <si>
    <t>Shopify Ecommerce for Marketers</t>
  </si>
  <si>
    <t>Marketing and Monetizing on YouTube</t>
  </si>
  <si>
    <t>Content Marketing Foundations</t>
  </si>
  <si>
    <t>Learning Google AdSense</t>
  </si>
  <si>
    <t>Advertising on Twitter</t>
  </si>
  <si>
    <t>Social Media Marketing Foundations</t>
  </si>
  <si>
    <t>Branding Foundations</t>
  </si>
  <si>
    <t>Marketing to Generation Z</t>
  </si>
  <si>
    <t>Marketing Tools: Digital Marketing Tools and Services</t>
  </si>
  <si>
    <t>Content Marketing for Social Media</t>
  </si>
  <si>
    <t>Introduction to Social Media Strategy</t>
  </si>
  <si>
    <t>Small Business Marketing</t>
  </si>
  <si>
    <t>Marketing Analytics: Setting and Measuring KPIs</t>
  </si>
  <si>
    <t>Building a Winning Enterprise Marketing Strategy</t>
  </si>
  <si>
    <t>Marketing Foundations: Consumer Behavior</t>
  </si>
  <si>
    <t>Business Analytics: Marketing Data</t>
  </si>
  <si>
    <t>Creating an Editorial Calendar</t>
  </si>
  <si>
    <t>Affiliate Marketing Foundations</t>
  </si>
  <si>
    <t>Programmatic Advertising Foundations</t>
  </si>
  <si>
    <t>International SEO</t>
  </si>
  <si>
    <t>Marketing: Customer Segmentation</t>
  </si>
  <si>
    <t>Marketing on Facebook</t>
  </si>
  <si>
    <t>Direct Mail Marketing</t>
  </si>
  <si>
    <t>Developing a YouTube Strategy</t>
  </si>
  <si>
    <t>Designing an Authentic Brand</t>
  </si>
  <si>
    <t>Marketing on Twitter</t>
  </si>
  <si>
    <t>International Marketing Foundations</t>
  </si>
  <si>
    <t>Learning Logo Design</t>
  </si>
  <si>
    <t>Marketing Virtual Events</t>
  </si>
  <si>
    <t>The 22 Immutable Laws of Branding (Blinkist Summary)</t>
  </si>
  <si>
    <t>How to Build a Following Online</t>
  </si>
  <si>
    <t>Marketing Tools: Social Media</t>
  </si>
  <si>
    <t>Learning Local SEO</t>
  </si>
  <si>
    <t>Learning Instagram</t>
  </si>
  <si>
    <t>Jump-Start Your LinkedIn Live Channel</t>
  </si>
  <si>
    <t>Marketing: Messaging with Purpose</t>
  </si>
  <si>
    <t>Getting Started with Facebook Shop for Creators</t>
  </si>
  <si>
    <t>Building and Engaging with Your Online Following for Creators</t>
  </si>
  <si>
    <t>Advertising on Instagram</t>
  </si>
  <si>
    <t>Marketing Tools: Automation</t>
  </si>
  <si>
    <t>Jump-Start Your Twitch Channel</t>
  </si>
  <si>
    <t>Building an Audience on Instagram for Creators</t>
  </si>
  <si>
    <t>Making Money with Branded Content for Creators</t>
  </si>
  <si>
    <t>Marketing Foundations: Analytics</t>
  </si>
  <si>
    <t>Diversity and Inclusion in Marketing: Inclusive Language for Marketers</t>
  </si>
  <si>
    <t>LinkedIn Creator Mode</t>
  </si>
  <si>
    <t>Advertising on Facebook</t>
  </si>
  <si>
    <t>Content Marketing: Online Reviews in Social Media</t>
  </si>
  <si>
    <t>Marketing Foundations: Ecommerce</t>
  </si>
  <si>
    <t>The Habits of Successful Marketers</t>
  </si>
  <si>
    <t>Social Media Marketing Strategy: TikTok and Instagram Reels</t>
  </si>
  <si>
    <t>Social Media for Working Professionals</t>
  </si>
  <si>
    <t>Brand Design Foundations</t>
  </si>
  <si>
    <t>Metaverse and NFTs for Marketing</t>
  </si>
  <si>
    <t>Marketing Strategy Case Studies from Leading Brands</t>
  </si>
  <si>
    <t>Brand Strategy: Management of Your Brand Reputation</t>
  </si>
  <si>
    <t>Content Strategy for Marketers</t>
  </si>
  <si>
    <t>Social Media Stories: Creative Strategies and Tips</t>
  </si>
  <si>
    <t>Content Creation: Strategy and Tools</t>
  </si>
  <si>
    <t>Ecommerce with Facebook and Instagram</t>
  </si>
  <si>
    <t>Market Research: B2B</t>
  </si>
  <si>
    <t>Retail Marketing Strategy</t>
  </si>
  <si>
    <t>Designing for Business</t>
  </si>
  <si>
    <t>Creating Social Content with Adobe Animate CC</t>
  </si>
  <si>
    <t>Social Media for Video Pros</t>
  </si>
  <si>
    <t>Social Media Marketing for Small Business</t>
  </si>
  <si>
    <t>Jonah Berger on Viral Marketing</t>
  </si>
  <si>
    <t>SEO Foundations</t>
  </si>
  <si>
    <t>Introduction to Content Marketing</t>
  </si>
  <si>
    <t>Disruptive Branding (Blinkist Summary)</t>
  </si>
  <si>
    <t>Artificial Intelligence for Marketing</t>
  </si>
  <si>
    <t>Creating LinkedIn Newsletters</t>
  </si>
  <si>
    <t>LinkedIn Creator Posting Strategy</t>
  </si>
  <si>
    <t>Social Media Marketing Trends</t>
  </si>
  <si>
    <t>B2B Marketing Foundations: Positioning</t>
  </si>
  <si>
    <t>Advertising on Pinterest</t>
  </si>
  <si>
    <t>Social Media Monitoring: Strategies and Skills</t>
  </si>
  <si>
    <t>Content Marketing: ROI</t>
  </si>
  <si>
    <t>Email Marketing: Strategy and Optimization</t>
  </si>
  <si>
    <t>Advertising on YouTube</t>
  </si>
  <si>
    <t>Create a Go-to-Market Plan</t>
  </si>
  <si>
    <t>Growth Hacking Tips</t>
  </si>
  <si>
    <t>Improve SEO for Your Ecommerce Site</t>
  </si>
  <si>
    <t>Social Media Marketing: Strategy and Optimization</t>
  </si>
  <si>
    <t>SEO: Keyword Strategy</t>
  </si>
  <si>
    <t>SEO: Videos</t>
  </si>
  <si>
    <t>Aligning Sales and Marketing</t>
  </si>
  <si>
    <t>Python for Marketing</t>
  </si>
  <si>
    <t>17 Questions to Help Improve Your Marketing</t>
  </si>
  <si>
    <t>Employer Branding on LinkedIn</t>
  </si>
  <si>
    <t>Become a Marketing Entrepreneur</t>
  </si>
  <si>
    <t>Market Research: Qualitative</t>
  </si>
  <si>
    <t>Social Selling: Reaching Prospects</t>
  </si>
  <si>
    <t>SEO: Ecommerce Strategies</t>
  </si>
  <si>
    <t>Remarketing Strategies with Google Ads and Analytics</t>
  </si>
  <si>
    <t>Technical SEO</t>
  </si>
  <si>
    <t>Social Media Marketing: ROI</t>
  </si>
  <si>
    <t>Consumer Behavior Trends: Meet the Postmodern Consumer</t>
  </si>
  <si>
    <t>Marketing: Copywriting for Social Media</t>
  </si>
  <si>
    <t>Augmented Reality Marketing</t>
  </si>
  <si>
    <t>Lead Generation: Multichannel PPC Strategy</t>
  </si>
  <si>
    <t>Marketing Attribution and Mix Modeling</t>
  </si>
  <si>
    <t>Creative Thinking and Innovation</t>
  </si>
  <si>
    <t>Building Creative Organizations</t>
  </si>
  <si>
    <t>Fostering Innovation</t>
  </si>
  <si>
    <t>Develop Your Creative Thinking and Innovation Skills</t>
  </si>
  <si>
    <t>Leading with Innovation</t>
  </si>
  <si>
    <t>Improve Your Creativity Skills</t>
  </si>
  <si>
    <t>Mapping Innovation: A Playbook for Navigating a Disruptive Age (getAbstract Summary)</t>
  </si>
  <si>
    <t>Improve Your Problem Solving Skills</t>
  </si>
  <si>
    <t>Built to Last: Successful Habits of Visionary Companies (Blinkist Summary)</t>
  </si>
  <si>
    <t>Stay Competitive Using Design Thinking</t>
  </si>
  <si>
    <t>Lean Technology Strategy: Managing the Innovation Portfolio</t>
  </si>
  <si>
    <t>Working with Creatives</t>
  </si>
  <si>
    <t>Service Innovation</t>
  </si>
  <si>
    <t>Innovating Out of Crisis</t>
  </si>
  <si>
    <t>Executing on Innovation: A Process That Scales</t>
  </si>
  <si>
    <t>Leading like a Futurist</t>
  </si>
  <si>
    <t>Balancing Innovation and Risk</t>
  </si>
  <si>
    <t>Using Questions to Foster Critical Thinking and Curiosity</t>
  </si>
  <si>
    <t>The Business Case for Creativity</t>
  </si>
  <si>
    <t>Creative Thinking Strategies for Leaders</t>
  </si>
  <si>
    <t>Developing Your Creativity as a Leader</t>
  </si>
  <si>
    <t>Thinking Creatively</t>
  </si>
  <si>
    <t>Learning Brainstorming</t>
  </si>
  <si>
    <t>Take a More Creative Approach to Problem-Solving</t>
  </si>
  <si>
    <t>The Five-Step Creative Process</t>
  </si>
  <si>
    <t>Icebreakers for Teams, Meetings, and Groups</t>
  </si>
  <si>
    <t>How Getting Curious Helps You Achieve Everything</t>
  </si>
  <si>
    <t>The 4 Lenses of Innovation (getAbstract Summary)</t>
  </si>
  <si>
    <t>Four Simple Strategies to Boost Creativity and Productivity</t>
  </si>
  <si>
    <t>Business Innovation Foundations</t>
  </si>
  <si>
    <t>Introduction to Responsible AI Algorithm Design</t>
  </si>
  <si>
    <t>How Blockchains Will Change Business</t>
  </si>
  <si>
    <t>Design Thinking: Implementing the Process</t>
  </si>
  <si>
    <t>Charles Adler: A Story of Kickstarting an Idea</t>
  </si>
  <si>
    <t>Practical Creativity for Everyone</t>
  </si>
  <si>
    <t>Graphic Design Foundations: Ideas, Concepts, and Form</t>
  </si>
  <si>
    <t>Applied Curiosity</t>
  </si>
  <si>
    <t>Creativity: Generate Ideas in Greater Quantity and Quality</t>
  </si>
  <si>
    <t>Creativity Tips for All Weekly</t>
  </si>
  <si>
    <t>How to Boost Your Creativity at Home in 10 Days</t>
  </si>
  <si>
    <t>21-Day Creative Exercise Desk Challenge</t>
  </si>
  <si>
    <t>Banish Your Inner Critic to Unleash Creativity</t>
  </si>
  <si>
    <t>Implementing Creative Feedback the Win-Win Way</t>
  </si>
  <si>
    <t>Branding Strategy: Define Your Creative Edge</t>
  </si>
  <si>
    <t>Unlocking Creativity (Blinkist Summary)</t>
  </si>
  <si>
    <t>Design Thinking: Understanding the Process</t>
  </si>
  <si>
    <t>Conducting a SWOT Analysis</t>
  </si>
  <si>
    <t>Creativity at Work: A Short Course from Seth Godin</t>
  </si>
  <si>
    <t>Creative Confidence (Blinkist Summary)</t>
  </si>
  <si>
    <t>Productive Creativity</t>
  </si>
  <si>
    <t>Unique Ways to Generate Creative Ideas</t>
  </si>
  <si>
    <t>Finding Creativity in Uncertain Times</t>
  </si>
  <si>
    <t>UX Deep Dive: Remote Research</t>
  </si>
  <si>
    <t>Psychological Safety: Clear Blocks to Innovation, Collaboration, and Risk-Taking</t>
  </si>
  <si>
    <t>Managing Innovation</t>
  </si>
  <si>
    <t>The Definitive Drucker (getAbstract Summary)</t>
  </si>
  <si>
    <t>Critical Thinking, Decision Making, and Problem Solving</t>
  </si>
  <si>
    <t xml:space="preserve">Develop Critical-Thinking, Decision-Making, and Problem-Solving Skills </t>
  </si>
  <si>
    <t>Reid Hoffman and Chris Yeh on Blitzscaling</t>
  </si>
  <si>
    <t>Removing Noise and Bias from Strategic Decision-Making</t>
  </si>
  <si>
    <t>Improve Your Problem-Solving Skills</t>
  </si>
  <si>
    <t>Executive Decision-Making</t>
  </si>
  <si>
    <t>Start with Why: How Great Leaders Inspire Everyone to Take Action (Blinkist Summary)</t>
  </si>
  <si>
    <t>Overcoming Decision-Making Traps</t>
  </si>
  <si>
    <t>Developing a Critical Thinking Mindset</t>
  </si>
  <si>
    <t>Making Key Decisions as a Manager</t>
  </si>
  <si>
    <t>Crafting Questions to Make Better Decisions</t>
  </si>
  <si>
    <t>The Secret to Better Decisions: Stop Hoarding Chips</t>
  </si>
  <si>
    <t>Critical Thinking for Better Judgment and Decision-Making</t>
  </si>
  <si>
    <t>Privacy in the New World of Work</t>
  </si>
  <si>
    <t>Monday Productivity Pointers</t>
  </si>
  <si>
    <t>Process Improvement Foundations</t>
  </si>
  <si>
    <t>Crafting Problem and Solution Statements</t>
  </si>
  <si>
    <t>Improving Your Judgment for Better Decision-Making</t>
  </si>
  <si>
    <t>How to Use Data Visualization to Make Better Decisions—Faster</t>
  </si>
  <si>
    <t>Emotional Intelligence as an Inclusivity Booster</t>
  </si>
  <si>
    <t>Overcoming Cognitive Bias</t>
  </si>
  <si>
    <t>Improving Your Thinking</t>
  </si>
  <si>
    <t>Critical Thinking</t>
  </si>
  <si>
    <t>Fred Kofman on Making Commitments</t>
  </si>
  <si>
    <t>Sheryl Sandberg and Adam Grant on Option B: Building Resilience</t>
  </si>
  <si>
    <t>Successful Goal Setting</t>
  </si>
  <si>
    <t>Making Quick Decisions</t>
  </si>
  <si>
    <t>The Undercover Economist: The Economics behind Everyday Decisions (Blinkist Summary)</t>
  </si>
  <si>
    <t>The Decision Makeover (getAbstract Summary)</t>
  </si>
  <si>
    <t>Critical Thinking and Problem Solving</t>
  </si>
  <si>
    <t>Think Like a Lawyer to Make Decisions and Solve Problems</t>
  </si>
  <si>
    <t>Smarter Faster Better (Blinkist Summary)</t>
  </si>
  <si>
    <t>Thinking, Fast and Slow (Blinkist Summary)</t>
  </si>
  <si>
    <t>Dan Ariely on Making Decisions</t>
  </si>
  <si>
    <t>Decision-Making in High-Stress Situations</t>
  </si>
  <si>
    <t>How to Fix Bad Agile</t>
  </si>
  <si>
    <t>Customer Focus</t>
  </si>
  <si>
    <t>Become a Customer Service Manager</t>
  </si>
  <si>
    <t>Customer Experience Leadership</t>
  </si>
  <si>
    <t>Become a Customer Service Specialist</t>
  </si>
  <si>
    <t>Creating a Culture of Privacy</t>
  </si>
  <si>
    <t>Become a Customer Support Specialist</t>
  </si>
  <si>
    <t>Business Fundamentals for Customer Success Managers</t>
  </si>
  <si>
    <t xml:space="preserve">Develop Your Customer Service Skills </t>
  </si>
  <si>
    <t>Customer Service: Preventing Turnover</t>
  </si>
  <si>
    <t>Creating a Positive Customer Experience</t>
  </si>
  <si>
    <t>Customer Experience: Creating Customer Personas</t>
  </si>
  <si>
    <t>Customer Service and Support During Economic Downturns</t>
  </si>
  <si>
    <t>Serving Customers in a Continuously Changing World</t>
  </si>
  <si>
    <t>Creating Positive Conversations with Challenging Customers</t>
  </si>
  <si>
    <t>Calculating the Value and ROI of Customer Service</t>
  </si>
  <si>
    <t>Winning Back a Lost Customer</t>
  </si>
  <si>
    <t>Journey Mapping: Case Study in Action</t>
  </si>
  <si>
    <t>Customer Service: Creating Customer Value</t>
  </si>
  <si>
    <t>Using Assessments to Hire Customer Service Reps</t>
  </si>
  <si>
    <t>Talking to Customers</t>
  </si>
  <si>
    <t>Customer Service Foundations</t>
  </si>
  <si>
    <t>Delivering Bad News to a Customer</t>
  </si>
  <si>
    <t>Ecommerce Fundamentals (2020)</t>
  </si>
  <si>
    <t>Empathy for Customer Service Professionals</t>
  </si>
  <si>
    <t>Customer Success Management Fundamentals</t>
  </si>
  <si>
    <t>Value Realization Best Practices for Customer Success Management</t>
  </si>
  <si>
    <t>Avoiding Common Pitfalls in Customer Success Management</t>
  </si>
  <si>
    <t>Onboarding and Adoption Best Practices for Customer Success Management</t>
  </si>
  <si>
    <t>Engagement Preparation Best Practices for Customer Success Management</t>
  </si>
  <si>
    <t>Product Management: Customer Development</t>
  </si>
  <si>
    <t>Making Business Videos for Customers</t>
  </si>
  <si>
    <t>Aftersale: Maintaining Relationships</t>
  </si>
  <si>
    <t>Data Ethics: Managing Your Private Customer Data</t>
  </si>
  <si>
    <t>Empathy in UX Design</t>
  </si>
  <si>
    <t>Customer Service: Handling Abusive Customers</t>
  </si>
  <si>
    <t>Customer Service: Managing Customer Feedback</t>
  </si>
  <si>
    <t>Customer Service: Problem Solving and Troubleshooting</t>
  </si>
  <si>
    <t>Developing a Service Mindset</t>
  </si>
  <si>
    <t>Building Rapport with Customers</t>
  </si>
  <si>
    <t>Customer Service: Managing Customer Expectations</t>
  </si>
  <si>
    <t>Providing Legendary Customer Service</t>
  </si>
  <si>
    <t>Data Driven: Harnessing Data and AI to Reinvent Customer Engagement (getAbstract Summary)</t>
  </si>
  <si>
    <t>Just Ask: Dean Karrel on Sales</t>
  </si>
  <si>
    <t>Building Customer Loyalty</t>
  </si>
  <si>
    <t>Customer Experience: Journey Mapping</t>
  </si>
  <si>
    <t>Customer Experience: Service Blueprinting</t>
  </si>
  <si>
    <t>Customer Service: Motivating Your Team</t>
  </si>
  <si>
    <t>Innovative Customer Service Techniques</t>
  </si>
  <si>
    <t>Leading a Customer-Centric Culture</t>
  </si>
  <si>
    <t>Managing a Customer Service Team</t>
  </si>
  <si>
    <t>Working with Upset Customers</t>
  </si>
  <si>
    <t>Aligning Customer Experience with Company Culture</t>
  </si>
  <si>
    <t>Customer Service Using AI and Machine Learning</t>
  </si>
  <si>
    <t>Customer Service: Serving Customers Through Chat and Text</t>
  </si>
  <si>
    <t>Serving Customers Using Social Media</t>
  </si>
  <si>
    <t>Leading a Customer Service Team</t>
  </si>
  <si>
    <t>A Design Thinking Approach to Putting the Customer First</t>
  </si>
  <si>
    <t>Business Development Foundations: Researching Market and Customer Needs</t>
  </si>
  <si>
    <t>Customer Service: Knowledge Management</t>
  </si>
  <si>
    <t>Data Analysis</t>
  </si>
  <si>
    <t>Data Strategy</t>
  </si>
  <si>
    <t>Advance Your Data Science Skills in Health Sciences</t>
  </si>
  <si>
    <t>Advance Your Skills in Predictive Analytics</t>
  </si>
  <si>
    <t>Leading Teams Working with Data: Pitfalls and Best Practices</t>
  </si>
  <si>
    <t>Become a Business Analyst</t>
  </si>
  <si>
    <t>Measuring Business Performance</t>
  </si>
  <si>
    <t>Become a Business Analytics Expert</t>
  </si>
  <si>
    <t>Learning Data Governance</t>
  </si>
  <si>
    <t>Become a Data Analyst</t>
  </si>
  <si>
    <t>Data Visualization: Best Practices</t>
  </si>
  <si>
    <t>Become a Data Visualization Specialist: Concepts</t>
  </si>
  <si>
    <t>15 Mistakes to Avoid in Data Science</t>
  </si>
  <si>
    <t>Become a Data Visualization Specialist: Tools</t>
  </si>
  <si>
    <t>Lessons from Data Scientists</t>
  </si>
  <si>
    <t>Become a Data Analytics Specialist</t>
  </si>
  <si>
    <t>Excel VBA: Managing Files and Data</t>
  </si>
  <si>
    <t>Become a Data Scientist</t>
  </si>
  <si>
    <t>Business Analytics: Forecasting with Exponential Smoothing</t>
  </si>
  <si>
    <t>Build Essential Data Skills</t>
  </si>
  <si>
    <t>Cert Prep: Excel Expert - Microsoft Office Specialist for Office 2019 and Office 365</t>
  </si>
  <si>
    <t>Become a Business Intelligence Specialist</t>
  </si>
  <si>
    <t>People Analytics</t>
  </si>
  <si>
    <t xml:space="preserve">Develop Your Data Analysis Skills </t>
  </si>
  <si>
    <t>Apache Flink: Exploratory Data Analytics with SQL</t>
  </si>
  <si>
    <t>Get Ahead In Data Science</t>
  </si>
  <si>
    <t>Data-Driven Learning Design</t>
  </si>
  <si>
    <t>Master Advanced Excel Data &amp; Analytics Skills</t>
  </si>
  <si>
    <t>Business Analysis Foundations: Business Process Modeling</t>
  </si>
  <si>
    <t>Master Excel for Data Science</t>
  </si>
  <si>
    <t>Business Analysis Foundations: Competencies</t>
  </si>
  <si>
    <t>Master Python for Data Science</t>
  </si>
  <si>
    <t>Data Fluency: Exploring and Describing Data</t>
  </si>
  <si>
    <t>Data Science Tools of the Trade: First Steps</t>
  </si>
  <si>
    <t>Learning Excel: Data Analysis</t>
  </si>
  <si>
    <t>SQL for Exploratory Data Analysis Essential Training</t>
  </si>
  <si>
    <t>Studying for the Certified Business Analysis Professional (CBAP)®</t>
  </si>
  <si>
    <t>Introducing AI to Your Organization</t>
  </si>
  <si>
    <t>SAS® 9.4 Cert Prep: Part 05 Analyzing and Reporting on Data</t>
  </si>
  <si>
    <t>Introduction to Business Analytics</t>
  </si>
  <si>
    <t>Business Analytics: Sales Data</t>
  </si>
  <si>
    <t>Ethics and Law in Data Analytics</t>
  </si>
  <si>
    <t>Power BI: Dashboards for Beginners</t>
  </si>
  <si>
    <t>15 Tips for Landing a Data Science Job</t>
  </si>
  <si>
    <t>Data Ethics: Watching Out for Data Misuse</t>
  </si>
  <si>
    <t>Presenting Data Effectively to Inform and Inspire</t>
  </si>
  <si>
    <t>Blockchain Basics</t>
  </si>
  <si>
    <t>Data Ethics: Making Data-Driven Decisions</t>
  </si>
  <si>
    <t>Data Science Foundations: Fundamentals</t>
  </si>
  <si>
    <t>Excel Statistics Essential Training: 1</t>
  </si>
  <si>
    <t>Learning Data Visualization</t>
  </si>
  <si>
    <t>The Data Game of Fantasy Football</t>
  </si>
  <si>
    <t>Learning Public Data Sets</t>
  </si>
  <si>
    <t>SPSS Statistics Essential Training</t>
  </si>
  <si>
    <t>R Essential Training: Wrangling and Visualizing Data</t>
  </si>
  <si>
    <t>Cloud Hadoop: Scaling Apache Spark</t>
  </si>
  <si>
    <t>The Non-Technical Skills of Effective Data Scientists</t>
  </si>
  <si>
    <t>R Essential Training Part 2: Modeling Data</t>
  </si>
  <si>
    <t>How to Perform Business Analysis in a Virtual Environment</t>
  </si>
  <si>
    <t>LinkedIn Learning Highlights: Data Science and Analytics</t>
  </si>
  <si>
    <t>Tech Ethics: Avoiding Unintended Consequences</t>
  </si>
  <si>
    <t>The Data Science of Government and Political Science, with Barton Poulson</t>
  </si>
  <si>
    <t>Skills That Set Data Scientists Apart</t>
  </si>
  <si>
    <t>Hiring a Chief Data Officer</t>
  </si>
  <si>
    <t>Best Languages for Data Science</t>
  </si>
  <si>
    <t>Giving Computers Vision</t>
  </si>
  <si>
    <t>Excel Statistics Essential Training: 2</t>
  </si>
  <si>
    <t>Business Analytics Foundations: Descriptive, Exploratory, and Explanatory Analytics</t>
  </si>
  <si>
    <t>Business Analytics Foundations: Predictive, Prescriptive, and Experimental Analytics</t>
  </si>
  <si>
    <t>Design Thinking: Data Intelligence</t>
  </si>
  <si>
    <t>Excel: Charts in Depth</t>
  </si>
  <si>
    <t>UX Deep Dive: Analyzing Data</t>
  </si>
  <si>
    <t>Data Visualization: Storytelling</t>
  </si>
  <si>
    <t>Excel Supply Chain Analysis: Solving Transportation Problems</t>
  </si>
  <si>
    <t>NoSQL Data Modeling Essential Training</t>
  </si>
  <si>
    <t>Telling Stories with Data</t>
  </si>
  <si>
    <t>Power BI Data Modeling with DAX</t>
  </si>
  <si>
    <t>Big Data Analytics with Hadoop and Apache Spark</t>
  </si>
  <si>
    <t>Text Analytics and Predictions with R Essential Training</t>
  </si>
  <si>
    <t>Data Dashboards in Power BI</t>
  </si>
  <si>
    <t>Power BI Data Methods</t>
  </si>
  <si>
    <t>Using Python with Excel</t>
  </si>
  <si>
    <t>Python for Data Visualization</t>
  </si>
  <si>
    <t>SQL: Data Reporting and Analysis</t>
  </si>
  <si>
    <t>Power BI Dataflows Essential Training</t>
  </si>
  <si>
    <t>SAP ERP: Beyond the Basics</t>
  </si>
  <si>
    <t>Tableau and R for Analytics Projects</t>
  </si>
  <si>
    <t>ABAP for SAP Users</t>
  </si>
  <si>
    <t>Review and Manage the SAP MRP List</t>
  </si>
  <si>
    <t>AI in Business Essential Training</t>
  </si>
  <si>
    <t>AI in Fintech Essential Training</t>
  </si>
  <si>
    <t>Excel: Avoiding Common Mistakes (Office 365/Excel 2019)</t>
  </si>
  <si>
    <t>The Data Science of Experimental Design</t>
  </si>
  <si>
    <t>Side Hustle Strategies for Data Science and Analytics Experts</t>
  </si>
  <si>
    <t>PostgreSQL Essential Training</t>
  </si>
  <si>
    <t>Data Visualization for Data Analysis and Analytics</t>
  </si>
  <si>
    <t>Learning Digital Business Analysis</t>
  </si>
  <si>
    <t>Agile Analysis Weekly Tips</t>
  </si>
  <si>
    <t>Cert Prep: Agile Analysis (IIBA®-AAC)</t>
  </si>
  <si>
    <t>Business Analyst and Project Manager Collaboration</t>
  </si>
  <si>
    <t>Microsoft Power Apps: Using the Dataverse (Formerly the Common Data Service)</t>
  </si>
  <si>
    <t>Designing, Training, and Instructing Courses</t>
  </si>
  <si>
    <t>Reinforcement Learning Foundations</t>
  </si>
  <si>
    <t>Advance Your Skills as a User Experience Researcher</t>
  </si>
  <si>
    <t>Connecting LinkedIn Learning with Your Organization's Systems</t>
  </si>
  <si>
    <t>Become an L&amp;D Professional</t>
  </si>
  <si>
    <t>Camtasia Essential Training: Advanced Techniques</t>
  </si>
  <si>
    <t>Become an Instructional Designer</t>
  </si>
  <si>
    <t>Creating Inclusive Learning Experiences</t>
  </si>
  <si>
    <t>Become an Instructional Developer</t>
  </si>
  <si>
    <t>Corporate Instruction Foundations</t>
  </si>
  <si>
    <t>Become an Online Instructor</t>
  </si>
  <si>
    <t>Learning Articulate Rise</t>
  </si>
  <si>
    <t>Become a User Experience Designer</t>
  </si>
  <si>
    <t>Instructional Design Essentials: Models of ID</t>
  </si>
  <si>
    <t>Build Your Own Professional Training</t>
  </si>
  <si>
    <t>Graphic Design Careers: First Steps</t>
  </si>
  <si>
    <t>Create LinkedIn Mobile Videos</t>
  </si>
  <si>
    <t>Develop Your Course Design and Instructional Skills</t>
  </si>
  <si>
    <t>Training with Stories</t>
  </si>
  <si>
    <t>Improve Your UX Design Skills</t>
  </si>
  <si>
    <t>Creating Fun and Engaging Video Training: The How</t>
  </si>
  <si>
    <t>Managing your Career as a Developer</t>
  </si>
  <si>
    <t>Creating Fun and Engaging Video Training: The Why</t>
  </si>
  <si>
    <t>Build Your Own Professional Training: Quick Start Guide</t>
  </si>
  <si>
    <t>Using Humor In Training to Engage Your Audience</t>
  </si>
  <si>
    <t>Learning to Teach Online</t>
  </si>
  <si>
    <t>Learning Moodle 3.9</t>
  </si>
  <si>
    <t>How to Turn Your Entrepreneur Journey into a Successful Keynote Talk</t>
  </si>
  <si>
    <t>Empathy in Business: Design for Success</t>
  </si>
  <si>
    <t>Pivoting to Virtual Events</t>
  </si>
  <si>
    <t>Producing Screencast Videos on a PC</t>
  </si>
  <si>
    <t>Getting Started as a LinkedIn Learning Hub Admin</t>
  </si>
  <si>
    <t>Foundations of Learning Management Systems (LMS)</t>
  </si>
  <si>
    <t>Cert Prep: Adobe Certified Associate - InDesign</t>
  </si>
  <si>
    <t>Articulate 360: Interactive Learning</t>
  </si>
  <si>
    <t>Gaining Internal Buy-In for Elearning Training</t>
  </si>
  <si>
    <t>The Future of Workplace Learning</t>
  </si>
  <si>
    <t>Articulate Storyline 360: Advanced Elearning</t>
  </si>
  <si>
    <t>Camtasia 2019 Essential Training: Advanced Techniques</t>
  </si>
  <si>
    <t>Designing a Training Program: Setting Goals, Objectives, and Mediums</t>
  </si>
  <si>
    <t>Elearning Tips</t>
  </si>
  <si>
    <t>Practical Success Metrics in Your Training Program</t>
  </si>
  <si>
    <t>Interaction Design: Interface</t>
  </si>
  <si>
    <t>Applied Interaction Design: Managing Comments</t>
  </si>
  <si>
    <t>Adobe Captivate: Advanced Actions</t>
  </si>
  <si>
    <t>Converting Face-to-Face Training into Digital Learning</t>
  </si>
  <si>
    <t>Articulate Storyline Quick Tips</t>
  </si>
  <si>
    <t>20 Questions to Improve Learning at Your Organization</t>
  </si>
  <si>
    <t>Applying Analytics to Your Learning Program</t>
  </si>
  <si>
    <t>Leveraging Neuroscience in the Workplace</t>
  </si>
  <si>
    <t>Using Neuroscience for More Effective L&amp;D</t>
  </si>
  <si>
    <t>Design Thinking at Work (getAbstract Summary)</t>
  </si>
  <si>
    <t>Color Trends</t>
  </si>
  <si>
    <t>Technology and Design Ethics</t>
  </si>
  <si>
    <t>Running a Design Business: Writing and Pricing Winning Proposals</t>
  </si>
  <si>
    <t>Financial and Accounting Knowledge</t>
  </si>
  <si>
    <t>Emerging Financial Risk Management</t>
  </si>
  <si>
    <t>Become an Accounts Payable Officer</t>
  </si>
  <si>
    <t>Corporate Finance: Profitability in a Financial Downturn</t>
  </si>
  <si>
    <t>Become a Bookkeeper</t>
  </si>
  <si>
    <t>Lean Technology Strategy: Financial Management to Support Business Agility</t>
  </si>
  <si>
    <t>Become a Corporate Financial Planning Analyst</t>
  </si>
  <si>
    <t>Nonprofit Management Foundations</t>
  </si>
  <si>
    <t>Become an Economist</t>
  </si>
  <si>
    <t>Accounting for Managers</t>
  </si>
  <si>
    <t>Become a Financial Analyst</t>
  </si>
  <si>
    <t>Foundations of Working Capital Management</t>
  </si>
  <si>
    <t>Become a Small Business Owner</t>
  </si>
  <si>
    <t>Job Interview Tips for Accountants</t>
  </si>
  <si>
    <t>Develop Your Finance and Accounting Skills</t>
  </si>
  <si>
    <t>S/4 Finance: Fiori Accounts Receivable Analytics</t>
  </si>
  <si>
    <t>Get Ahead in the On-Demand Gig Economy</t>
  </si>
  <si>
    <t>S/4 Finance: Fiori Accounts Payable Analytics</t>
  </si>
  <si>
    <t>Stay Ahead in Personal Finance</t>
  </si>
  <si>
    <t>Advanced Bookkeeping Techniques</t>
  </si>
  <si>
    <t>Focusing on the Bottom Line as an Employee</t>
  </si>
  <si>
    <t>Business Analytics: Forecasting with Seasonal Baseline Smoothing</t>
  </si>
  <si>
    <t>Business Intelligence for Consultants</t>
  </si>
  <si>
    <t>Accounting Foundations: Asset Impairment</t>
  </si>
  <si>
    <t>Financial Adulting</t>
  </si>
  <si>
    <t>SAP ERP Essential Training</t>
  </si>
  <si>
    <t>Accounting Foundations</t>
  </si>
  <si>
    <t>Accounting Foundations: Bookkeeping</t>
  </si>
  <si>
    <t>Accounting Foundations: Budgeting</t>
  </si>
  <si>
    <t>Audit and Due Diligence Foundations</t>
  </si>
  <si>
    <t>Business Tax Foundations</t>
  </si>
  <si>
    <t>Finance Foundations</t>
  </si>
  <si>
    <t>Finance Foundations: Income Taxes</t>
  </si>
  <si>
    <t>Running a Profitable Business: Understanding Financial Ratios</t>
  </si>
  <si>
    <t>Teaching Your Kids About Finance</t>
  </si>
  <si>
    <t>Finance Foundations for Solopreneurs</t>
  </si>
  <si>
    <t>Understanding Capital Markets</t>
  </si>
  <si>
    <t>How to Analyze a Wholesale Deal in Real Estate</t>
  </si>
  <si>
    <t>Consulting Foundations</t>
  </si>
  <si>
    <t>Applying Agile MoSCoW Prioritization</t>
  </si>
  <si>
    <t>Picking the Right Chart for Your Data</t>
  </si>
  <si>
    <t>Applying Managerial Accounting</t>
  </si>
  <si>
    <t>Corporate Finance Foundations</t>
  </si>
  <si>
    <t>Financial Accounting Foundations</t>
  </si>
  <si>
    <t>Behavioral Finance Foundations</t>
  </si>
  <si>
    <t>Using the Time Value of Money to Make Financial Decisions</t>
  </si>
  <si>
    <t>Finance Essentials for Small Business</t>
  </si>
  <si>
    <t>Managing Your Personal Finances</t>
  </si>
  <si>
    <t>First Five Things You Have to Do to Start a Business as a Creator</t>
  </si>
  <si>
    <t>Build Your Financial Literacy</t>
  </si>
  <si>
    <t>Managerial Finance Foundations</t>
  </si>
  <si>
    <t>Accounting Foundations: Understanding the GAAP (Generally Accepted Accounting Principles)</t>
  </si>
  <si>
    <t>QuickBooks Online Essential Training</t>
  </si>
  <si>
    <t>QuickBooks Pro 2019 Essential Training</t>
  </si>
  <si>
    <t>Financial Accounting Part 2</t>
  </si>
  <si>
    <t>Finance Foundations: Risk Management</t>
  </si>
  <si>
    <t>Financial Accounting Part 1</t>
  </si>
  <si>
    <t>Analyzing a Real Estate Deal</t>
  </si>
  <si>
    <t>Economics for Everyone: Understanding a Recession</t>
  </si>
  <si>
    <t>Developing Investment Acumen</t>
  </si>
  <si>
    <t>Financial Record Keeping</t>
  </si>
  <si>
    <t>Financial Modeling Foundations</t>
  </si>
  <si>
    <t>Activity-Based Costing</t>
  </si>
  <si>
    <t>Corporate Financial Statement Analysis</t>
  </si>
  <si>
    <t>Finance Strategies for Business Leaders</t>
  </si>
  <si>
    <t>SAP Business One: Finance and Banking</t>
  </si>
  <si>
    <t>Finance for Non-Financial Managers</t>
  </si>
  <si>
    <t>Protecting Profitability by Reducing Financial Risk</t>
  </si>
  <si>
    <t>SAP Accounts Payable Boot Camp</t>
  </si>
  <si>
    <t>Contracting for Consultants</t>
  </si>
  <si>
    <t>Consulting Foundations: Client Management and Relationships</t>
  </si>
  <si>
    <t>Critical Roles Consultants Play (and the Skills You Need to Fill Them)</t>
  </si>
  <si>
    <t>Excel for Investment Professionals</t>
  </si>
  <si>
    <t>Excel for Corporate Finance Professionals</t>
  </si>
  <si>
    <t>Corporate Finance: Robust Financial Modeling</t>
  </si>
  <si>
    <t>Data Analytics for Business Professionals</t>
  </si>
  <si>
    <t>Algorithmic Trading and Stocks Essential Training</t>
  </si>
  <si>
    <t>Data Analytics for Pricing Analysts in Excel</t>
  </si>
  <si>
    <t>SQL for Statistics Essential Training</t>
  </si>
  <si>
    <t>Financial Modeling and Forecasting Financial Statements</t>
  </si>
  <si>
    <t>Accounting Foundations: Leases</t>
  </si>
  <si>
    <t>Excel: Implementing Balanced Scorecards with KPIs</t>
  </si>
  <si>
    <t>Accounting Foundations: Internal Controls</t>
  </si>
  <si>
    <t>Evaluating Business Investment Decisions</t>
  </si>
  <si>
    <t>Accounting Foundations: Cost-Based Pricing Strategies</t>
  </si>
  <si>
    <t>Economics for Business Leaders</t>
  </si>
  <si>
    <t>Accounting Foundations: Global Finance and Accounting</t>
  </si>
  <si>
    <t>Audit and Due Diligence: Priorities and Best Practices</t>
  </si>
  <si>
    <t>Excel Modeling Tips and Tricks</t>
  </si>
  <si>
    <t>The Future of Audit</t>
  </si>
  <si>
    <t>QuickBooks Online Tips and Tricks</t>
  </si>
  <si>
    <t>The Business of Accounting</t>
  </si>
  <si>
    <t>Accounting Foundations: Statement of Cash Flows</t>
  </si>
  <si>
    <t>Finance Foundations: Corporate Governanace</t>
  </si>
  <si>
    <t>Financial Literacy for Employees</t>
  </si>
  <si>
    <t>Preparing for an Audit</t>
  </si>
  <si>
    <t>Introduction to NFTs: Non-fungible Tokens</t>
  </si>
  <si>
    <t>Accounting Ethics</t>
  </si>
  <si>
    <t>Agile Foundations</t>
  </si>
  <si>
    <t>Project Management: International Projects</t>
  </si>
  <si>
    <t>Recovering from a Financial Setback</t>
  </si>
  <si>
    <t>Financial Basics Everyone Should Know</t>
  </si>
  <si>
    <t>Economics for Everyone: Housing Markets in Crisis</t>
  </si>
  <si>
    <t>What Is Business Analysis?</t>
  </si>
  <si>
    <t>Human Resources Knowledge and HR Management</t>
  </si>
  <si>
    <t>Succession Planning</t>
  </si>
  <si>
    <t>Organizational Culture</t>
  </si>
  <si>
    <t>Become a Corporate Recruiter</t>
  </si>
  <si>
    <t>Become an External Recruiter</t>
  </si>
  <si>
    <t>Become an HR Business Partner</t>
  </si>
  <si>
    <t>Become a Technical Recruiter</t>
  </si>
  <si>
    <t>360-Degree Feedback</t>
  </si>
  <si>
    <t>Build a More Equitable and Inclusive Workplace</t>
  </si>
  <si>
    <t>HR and Digital Transformation</t>
  </si>
  <si>
    <t>Build Your Skills in Recruiting</t>
  </si>
  <si>
    <t>Develop Your HR Management and Leadership Skills</t>
  </si>
  <si>
    <t>HR Leadership as We Move Back into the Office</t>
  </si>
  <si>
    <t>Diversity, Inclusion, and Belonging for HR Professionals and Leaders</t>
  </si>
  <si>
    <t>Finding and Retaining High Potentials</t>
  </si>
  <si>
    <t>Finding and Retaining Talent</t>
  </si>
  <si>
    <t>HR: Providing Flexible Work Options</t>
  </si>
  <si>
    <t>Employee Engagement</t>
  </si>
  <si>
    <t>Human Resources: Building a Performance Management System</t>
  </si>
  <si>
    <t>Planning for Your Hybrid Organization</t>
  </si>
  <si>
    <t>Onboarding New Hires as a Manager</t>
  </si>
  <si>
    <t>Hiring an Employee for Managers</t>
  </si>
  <si>
    <t>Managing Temporary and Contract Employees</t>
  </si>
  <si>
    <t>Virtual Interviewing for HR</t>
  </si>
  <si>
    <t>Hire, Retain, and Grow Top Millennial Talent</t>
  </si>
  <si>
    <t>Hiring and Supporting Neurodiversity in the Workplace</t>
  </si>
  <si>
    <t>HR Communication in Today's Fluid Workplace</t>
  </si>
  <si>
    <t>HR Recruiting Communication Strategies to Attract and Retain Top Talent</t>
  </si>
  <si>
    <t>Performance Management: Employee Engagement</t>
  </si>
  <si>
    <t>People Success: Employee Assessments</t>
  </si>
  <si>
    <t>Letting an Employee Go</t>
  </si>
  <si>
    <t>Establishing Work from Home Policies</t>
  </si>
  <si>
    <t>Tech Recruiting Foundations: 5 Waterfall, Agile, and DevOps for Recruiters</t>
  </si>
  <si>
    <t>Tech Recruiting Foundations: 4 Recruiting for the IT Department</t>
  </si>
  <si>
    <t>Handling Workplace Bullying</t>
  </si>
  <si>
    <t>Human Resources Foundations</t>
  </si>
  <si>
    <t>Human Resources: Protecting Confidentiality</t>
  </si>
  <si>
    <t>Teaching Civility in the Workplace</t>
  </si>
  <si>
    <t>Connecting with Your Millennial Manager</t>
  </si>
  <si>
    <t>Introduction to Employee Relations</t>
  </si>
  <si>
    <t>Empathy Tips for HR Professionals</t>
  </si>
  <si>
    <t>Inclusion During Difficult Times</t>
  </si>
  <si>
    <t>Recruiting Foundations: Recruiting for External Recruiters</t>
  </si>
  <si>
    <t>Recruiting Foundations: Recruiting for In-House Recruiters</t>
  </si>
  <si>
    <t>Learning LinkedIn Recruiter</t>
  </si>
  <si>
    <t>Demystifying Company Culture</t>
  </si>
  <si>
    <t>Business Benefits Realization Foundations</t>
  </si>
  <si>
    <t>Preparing for the SHRM-CP Exam</t>
  </si>
  <si>
    <t>Fair and Effective Interviewing for Diversity and Inclusion</t>
  </si>
  <si>
    <t>HR Guidelines Everyone Should Know</t>
  </si>
  <si>
    <t>Hiring and Managing UX Professionals</t>
  </si>
  <si>
    <t>Understanding Organisations and the Role of HR</t>
  </si>
  <si>
    <t>Human Resources: Creating an Employee Handbook</t>
  </si>
  <si>
    <t>Human Resources: Working with Vendors</t>
  </si>
  <si>
    <t>Introduction to the PHR Certification Exam</t>
  </si>
  <si>
    <t>Driving Workplace Happiness</t>
  </si>
  <si>
    <t>Human Resources: Payroll</t>
  </si>
  <si>
    <t>Human Resources: Using Metrics to Drive HR Strategy</t>
  </si>
  <si>
    <t>Performance-Based Hiring</t>
  </si>
  <si>
    <t>Strategic Human Resources</t>
  </si>
  <si>
    <t>Interviewing Techniques</t>
  </si>
  <si>
    <t>Diversity Recruiting</t>
  </si>
  <si>
    <t>Interviewing a Job Candidate for Recruiters</t>
  </si>
  <si>
    <t>Setting and Managing Realistic Expectations for Your L&amp;D Program</t>
  </si>
  <si>
    <t>Rolling Out a Diversity and Inclusion Training Program in Your Company</t>
  </si>
  <si>
    <t>Leadership Mindsets</t>
  </si>
  <si>
    <t>Running a Design Business: The Staffing Rule Book</t>
  </si>
  <si>
    <t>Human Resources: Leadership and Strategic Impact</t>
  </si>
  <si>
    <t>Human Resources: Selecting an HR System</t>
  </si>
  <si>
    <t>Human Resources: Strategic Workforce Planning</t>
  </si>
  <si>
    <t>Human Resources: Pay Strategy</t>
  </si>
  <si>
    <t>Bystander Training: From Bystander to Upstander</t>
  </si>
  <si>
    <t>Preventing Harassment in the Workplace</t>
  </si>
  <si>
    <t>Adding Value through Diversity</t>
  </si>
  <si>
    <t>Addiction: A Community Issue</t>
  </si>
  <si>
    <t>IT, Machine Learning, &amp; Technology Foundational Knowledge</t>
  </si>
  <si>
    <t>RPA, AI, and Cognitive Tech for Leaders</t>
  </si>
  <si>
    <t>Applying Lean, DevOps, and Agile to your IT Organization</t>
  </si>
  <si>
    <t>Artificial Intelligence Foundations: Thinking Machines</t>
  </si>
  <si>
    <t>Advance Your Skills in the Blockchain</t>
  </si>
  <si>
    <t>Artificial Intelligence Foundations: Machine Learning</t>
  </si>
  <si>
    <t>Advance Your Skills as an Azure IT Administrator</t>
  </si>
  <si>
    <t>Artificial Intelligence Foundations: Neural Networks</t>
  </si>
  <si>
    <t>Advance your Skills as an IT Help Desk Specialist</t>
  </si>
  <si>
    <t>Agile Software Development: Transforming your Organization</t>
  </si>
  <si>
    <t>Advance Your Skills in AI and Machine Learning</t>
  </si>
  <si>
    <t>Accelerating Digital Transformation as Offices Reopen</t>
  </si>
  <si>
    <t>Advance Your Skills as a Computer Forensics Specialist</t>
  </si>
  <si>
    <t>Foundations of The Fourth Industrial Revolution (Industry 4.0)</t>
  </si>
  <si>
    <t>Advance Your Skills in Deep Learning and Neural Networks</t>
  </si>
  <si>
    <t>Become an AI and Machine Learning Specialist Part 2</t>
  </si>
  <si>
    <t>DevOps Foundations: Transforming the Enterprise</t>
  </si>
  <si>
    <t>Become an AWS Data and DevOps Specialist</t>
  </si>
  <si>
    <t>Make IT Work in Your Business</t>
  </si>
  <si>
    <t>Become a C++ Developer</t>
  </si>
  <si>
    <t>Implementing Your IT Strategy</t>
  </si>
  <si>
    <t>Become a Cloud Administrator</t>
  </si>
  <si>
    <t>Creating Your IT Strategy</t>
  </si>
  <si>
    <t>Become an Excel 2013 Microsoft Office Specialist</t>
  </si>
  <si>
    <t>Assessing Digital Maturity</t>
  </si>
  <si>
    <t>Become a FileMaker Custom App Developer</t>
  </si>
  <si>
    <t>Artificial Intelligence and Business Strategy</t>
  </si>
  <si>
    <t>Become an IT Security Specialist</t>
  </si>
  <si>
    <t>Artificial Intelligence and Business Strategy: Case Studies</t>
  </si>
  <si>
    <t>Become an IT Technician</t>
  </si>
  <si>
    <t>Cybersecurity for Executives</t>
  </si>
  <si>
    <t>Become an Outlook 2013 Microsoft Office Specialist</t>
  </si>
  <si>
    <t>Understanding and Prioritizing Data Privacy</t>
  </si>
  <si>
    <t>Become a PowerPoint 2013 Microsoft Office Specialist</t>
  </si>
  <si>
    <t>Introduction to Quantum Computing</t>
  </si>
  <si>
    <t>Become a Python Developer</t>
  </si>
  <si>
    <t>Introduction to Digital Twins</t>
  </si>
  <si>
    <t>Become an SEO Expert</t>
  </si>
  <si>
    <t>Implementing an Information Security Program</t>
  </si>
  <si>
    <t>Become a SharePoint 2013 Microsoft Office Specialist</t>
  </si>
  <si>
    <t>Intro to Service Management with ITIL® 4</t>
  </si>
  <si>
    <t>Become a Word 2013 Microsoft Office Specialist</t>
  </si>
  <si>
    <t>Inclusive Tech: The Case for Inclusive Leadership</t>
  </si>
  <si>
    <t>Get Ahead in iOS App Development</t>
  </si>
  <si>
    <t>Become a Digital Trust &amp; Safety Leader</t>
  </si>
  <si>
    <t>Getting Started with Microsoft Excel</t>
  </si>
  <si>
    <t>Technical Product Management</t>
  </si>
  <si>
    <t>Getting Started with Microsoft OneNote</t>
  </si>
  <si>
    <t>Learning XAI: Explainable Artificial Intelligence</t>
  </si>
  <si>
    <t>Getting Started with Microsoft Outlook</t>
  </si>
  <si>
    <t>DevOps Foundations: Going Cloud Native</t>
  </si>
  <si>
    <t>Getting Started with Microsoft Word</t>
  </si>
  <si>
    <t>Tech Career Skills: Interviewing Developers</t>
  </si>
  <si>
    <t>Improve Your Continuous Delivery Skills</t>
  </si>
  <si>
    <t>IT Service Management Foundations: Measures and Metrics</t>
  </si>
  <si>
    <t>Improve Your ITIL Skills</t>
  </si>
  <si>
    <t>CCSP Cert Prep: 1 Cloud Concepts, Architecture, and Design Audio Review</t>
  </si>
  <si>
    <t>Improve Your Microsoft Excel Skills</t>
  </si>
  <si>
    <t>Improve Your Tableau Skills</t>
  </si>
  <si>
    <t>CompTIA Security+ (SY0-601) Cert Prep: 8 Network Security Design and Implementation</t>
  </si>
  <si>
    <t>Master Cloud-Native Infrastructure with Kubernetes</t>
  </si>
  <si>
    <t>Learning Claris Connect</t>
  </si>
  <si>
    <t>Master Digital Transformation</t>
  </si>
  <si>
    <t>Microsoft Dynamics 365 Sales Essential Training</t>
  </si>
  <si>
    <t>Master Microsoft Excel</t>
  </si>
  <si>
    <t>Conversations on Cryptography</t>
  </si>
  <si>
    <t>Master Microsoft OneNote</t>
  </si>
  <si>
    <t>IoT Foundations: Standards and Ecosystems</t>
  </si>
  <si>
    <t>Master Microsoft Outlook</t>
  </si>
  <si>
    <t>Facilitating Remote Design Thinking</t>
  </si>
  <si>
    <t>Master Microsoft Word</t>
  </si>
  <si>
    <t>Creating Accessible PDFs</t>
  </si>
  <si>
    <t>Prepare for the Excel 2013 Microsoft Office Specialist (MOS) Expert Exam</t>
  </si>
  <si>
    <t>Asset Accounting: Acquisitions in SAP S/4HANA</t>
  </si>
  <si>
    <t>Prepare for the Word 2013 Microsoft Office Specialist (MOS) Expert Exam</t>
  </si>
  <si>
    <t>SAP SuccessFactors Performance and Goals Management</t>
  </si>
  <si>
    <t>Succeed as a Remote IT Administrator</t>
  </si>
  <si>
    <t>CRISC Cert Prep: 1 IT Risk Identification</t>
  </si>
  <si>
    <t>Succeed as a Remote Software Developer</t>
  </si>
  <si>
    <t>Scrollytelling: Creating a One-Page Web Experience</t>
  </si>
  <si>
    <t>Working Smarter with Microsoft 365</t>
  </si>
  <si>
    <t>Framing Cloud Discussions for the C-Suite</t>
  </si>
  <si>
    <t>SAP Business One: Production and Logistics</t>
  </si>
  <si>
    <t>Craft a Great GitHub Profile</t>
  </si>
  <si>
    <t>Planning Basics in SAP</t>
  </si>
  <si>
    <t>Understanding Augmented and Virtual Reality: An Introduction</t>
  </si>
  <si>
    <t>Learning System Center Configuration Manager</t>
  </si>
  <si>
    <t>Learning Java Applications</t>
  </si>
  <si>
    <t>Test Automation Foundations</t>
  </si>
  <si>
    <t>Introducing Robotic Process Automation</t>
  </si>
  <si>
    <t>AWS Administration: Tips and Tricks</t>
  </si>
  <si>
    <t>Applied Machine Learning: Algorithms</t>
  </si>
  <si>
    <t>Machine Learning in Mobile Applications</t>
  </si>
  <si>
    <t>Machine Learning and AI Foundations: Predictive Modeling Strategy at Scale</t>
  </si>
  <si>
    <t>Succeeding in Web Development: Full Stack and Front End</t>
  </si>
  <si>
    <t>Software Development Life Cycle (SDLC)</t>
  </si>
  <si>
    <t>Working and Collaborating Online</t>
  </si>
  <si>
    <t>Working with Computers and Devices</t>
  </si>
  <si>
    <t>Foundations of Enterprise Content Management</t>
  </si>
  <si>
    <t>Getting Started with Live Streaming</t>
  </si>
  <si>
    <t>Excel: Macros and VBA for Beginners</t>
  </si>
  <si>
    <t>Excel: Power Query for Beginners</t>
  </si>
  <si>
    <t>Learning Cloud Computing: The Cloud and DevOps</t>
  </si>
  <si>
    <t>Learning Lucidchart</t>
  </si>
  <si>
    <t>Learning PowerPoint for the Web (Office 365/Microsoft 365)</t>
  </si>
  <si>
    <t>Learning Word for the web (Office 365/Microsoft 365)</t>
  </si>
  <si>
    <t>Buying on Ariba Discovery</t>
  </si>
  <si>
    <t>Introduction to Network Routing</t>
  </si>
  <si>
    <t>Gmail Essential Training</t>
  </si>
  <si>
    <t>Agile Testing</t>
  </si>
  <si>
    <t>Applied Machine Learning: Foundations</t>
  </si>
  <si>
    <t>Building Recommender Systems with Machine Learning and AI</t>
  </si>
  <si>
    <t>Introduction to Deep Learning with OpenCV</t>
  </si>
  <si>
    <t>Google Sheets Essential Training</t>
  </si>
  <si>
    <t>Simple Statistics for User Experience Projects</t>
  </si>
  <si>
    <t>Systems Thinking for Product Designers</t>
  </si>
  <si>
    <t>Google Analytics (GA4): Audience-Building and Segmentation</t>
  </si>
  <si>
    <t>Migrating from Universal Analytics to Google Analytics 4 (GA4)</t>
  </si>
  <si>
    <t>Learning SAP Production Planning</t>
  </si>
  <si>
    <t>Learning SAP MM (Materials Management)</t>
  </si>
  <si>
    <t>Access 2019: Building Dashboards for Excel</t>
  </si>
  <si>
    <t>Learning SAP SD (Sales and Distribution)</t>
  </si>
  <si>
    <t>Scaling Applications with Microsoft Azure</t>
  </si>
  <si>
    <t>PowerPoint: Eight Easy Ways to Make Your Presentation Stand Out</t>
  </si>
  <si>
    <t>Applied AI for Human Resources</t>
  </si>
  <si>
    <t>Using Microsoft Teams and Outlook Together: Maximizing Productivity</t>
  </si>
  <si>
    <t>Applied AI for IT Operations</t>
  </si>
  <si>
    <t>Manage Apps with Configuration Manager</t>
  </si>
  <si>
    <t>SSCP Cert Prep: 7 Systems and Application Security</t>
  </si>
  <si>
    <t>API Testing Foundations</t>
  </si>
  <si>
    <t>Software Testing: Exploratory Testing</t>
  </si>
  <si>
    <t>Python Automation and Testing</t>
  </si>
  <si>
    <t>Jenkins Essential Training</t>
  </si>
  <si>
    <t>AWS: Automation and Optimization</t>
  </si>
  <si>
    <t>API Test Automation with SoapUI</t>
  </si>
  <si>
    <t>Cisco Network Security: Secure Routing and Switching</t>
  </si>
  <si>
    <t>Configuration Manager: Configure and Maintain a Management Infrastructure</t>
  </si>
  <si>
    <t>Network Virtualization: SDN Overlay Solutions</t>
  </si>
  <si>
    <t>Azure Administration: Manage Subscriptions and Resources</t>
  </si>
  <si>
    <t>Azure Administration: Deploy and Manage Virtual Machines</t>
  </si>
  <si>
    <t>Text Analytics and Predictions with Python Essential Training</t>
  </si>
  <si>
    <t>AI Accountability Essential Training</t>
  </si>
  <si>
    <t>Deep Learning: Image Recognition</t>
  </si>
  <si>
    <t>Deep Learning: Face Recognition</t>
  </si>
  <si>
    <t>Algorithmic Trading and Finance Models with Python, R, and Stata Essential Training</t>
  </si>
  <si>
    <t>Artificial Intelligence: How Project Managers Can Leverage AI</t>
  </si>
  <si>
    <t>Machine Learning for Marketing: Essential Training</t>
  </si>
  <si>
    <t>Microsoft Teams: Successful Meetings and Events</t>
  </si>
  <si>
    <t>Running Microsoft 365 Live Events: Teams, Yammer, and Stream</t>
  </si>
  <si>
    <t>Excel for Mac: Advanced Formulas and Functions (365/2019)</t>
  </si>
  <si>
    <t>Excel for Banking Professionals</t>
  </si>
  <si>
    <t>Penetration Testing: Advanced Web Testing</t>
  </si>
  <si>
    <t>Advanced NLP with Python for Machine Learning</t>
  </si>
  <si>
    <t>Microsoft Power Apps: AI Builder</t>
  </si>
  <si>
    <t>Evil by Design: Persuasion in UX</t>
  </si>
  <si>
    <t>First Look: Python 3.9</t>
  </si>
  <si>
    <t>Agile Development in the New World of Work</t>
  </si>
  <si>
    <t>Microsoft 365: Choose the Right Tool for the Job</t>
  </si>
  <si>
    <t>Trending Tools</t>
  </si>
  <si>
    <t>Leading Change</t>
  </si>
  <si>
    <t>Jeff Dyer on Innovation</t>
  </si>
  <si>
    <t>Become a Thought Leader</t>
  </si>
  <si>
    <t>Digital Transformation for Leaders</t>
  </si>
  <si>
    <t>Digital Transformation for Tech Leaders</t>
  </si>
  <si>
    <t>Sustainability Strategies</t>
  </si>
  <si>
    <t>Leading During Times of Change</t>
  </si>
  <si>
    <t>Managing Change</t>
  </si>
  <si>
    <t>Women in Leadership</t>
  </si>
  <si>
    <t>Counterintuitive Leadership Strategies for a VUCA (Volatile, Uncertain, Complex, Ambiguous) Environment</t>
  </si>
  <si>
    <t>Leading Organizations: Ten Timeless Truths (getAbstract Summary)</t>
  </si>
  <si>
    <t>Using Emotions to Leverage and Accelerate Change: A Guide for Leaders</t>
  </si>
  <si>
    <t>How to Be an Inclusive Leader (getAbstract Summary)</t>
  </si>
  <si>
    <t>Becoming an AI-First Product Leader</t>
  </si>
  <si>
    <t>The Purpose Effect (getAbstract Summary)</t>
  </si>
  <si>
    <t>Navigating Environmental Sustainability: A Guide for Leaders</t>
  </si>
  <si>
    <t>Leading with Values</t>
  </si>
  <si>
    <t>Moving Past Change Fatigue to the Growth Edge</t>
  </si>
  <si>
    <t>Change Leadership</t>
  </si>
  <si>
    <t>Reorganize and Transition Your Team for Change</t>
  </si>
  <si>
    <t>Leading with Fearless Mindfulness</t>
  </si>
  <si>
    <t>Supporting Workers with Disabilities</t>
  </si>
  <si>
    <t>Building Change Capability for Managers</t>
  </si>
  <si>
    <t>How to Support Your Employees' Well-Being</t>
  </si>
  <si>
    <t>Change Management Tips for Leaders</t>
  </si>
  <si>
    <t>Women Transforming Tech: Breaking Bias</t>
  </si>
  <si>
    <t>Guy Kawasaki on Turning Life Wisdom into Business Success</t>
  </si>
  <si>
    <t>Advocating for Change in Your Organization</t>
  </si>
  <si>
    <t>Creating a Great Place to Work for All</t>
  </si>
  <si>
    <t>Change Management Tips for Individuals</t>
  </si>
  <si>
    <t>How to Lead and Inspire Change</t>
  </si>
  <si>
    <t>Creating Safe Spaces for Tough Conversations at Work</t>
  </si>
  <si>
    <t>Strategies to Foster Inclusive Language at Work</t>
  </si>
  <si>
    <t>Being Your Own Fierce Self-Advocate</t>
  </si>
  <si>
    <t>Communicating Change in an Enterprise-Wide Transformation</t>
  </si>
  <si>
    <t>How to Innovate and Stay Relevant in Times of Change and Uncertainty</t>
  </si>
  <si>
    <t>Leading in Uncertain Times</t>
  </si>
  <si>
    <t>Closing the Green Skills Gap to Power a Greener Economy</t>
  </si>
  <si>
    <t>The Employee's Guide to Sustainability</t>
  </si>
  <si>
    <t>Emily Cohen: Brutal Honesty as a Business Strategy</t>
  </si>
  <si>
    <t>Reframing Organizations (Blinkist Summary)</t>
  </si>
  <si>
    <t>Driving Change and Anti-Racism</t>
  </si>
  <si>
    <t>Preparing Yourself for Change</t>
  </si>
  <si>
    <t>Change Management: Plan on a Page</t>
  </si>
  <si>
    <t>Change Management: Roadmap to Execution</t>
  </si>
  <si>
    <t>How to Be More Inclusive</t>
  </si>
  <si>
    <t>Leading Others Effectively and Transformational Leadership</t>
  </si>
  <si>
    <t>Privacy for Executives and Aspiring Executives</t>
  </si>
  <si>
    <t>Ryan Holmes on Social Leadership</t>
  </si>
  <si>
    <t>Leadership Stories: 5-Minute Lessons in Leading People</t>
  </si>
  <si>
    <t>Become a Leader</t>
  </si>
  <si>
    <t>Diversity, Inclusion, and Belonging for Leaders and Managers</t>
  </si>
  <si>
    <t>Leading Others Effectively</t>
  </si>
  <si>
    <t>Manager to Leader</t>
  </si>
  <si>
    <t>Lean Technology Strategy: Purposeful Organizations</t>
  </si>
  <si>
    <t>Master In-Demand Skills for Technology Leadership</t>
  </si>
  <si>
    <t>Vision in Action: Leaders Live Case Studies</t>
  </si>
  <si>
    <t>Leading the Organization Monthly</t>
  </si>
  <si>
    <t>The 7 Secrets of Responsive Leadership (getAbstract Summary)</t>
  </si>
  <si>
    <t>Transitioning from Manager to Leader</t>
  </si>
  <si>
    <t>Transformational Leadership</t>
  </si>
  <si>
    <t>Collaborative Leadership</t>
  </si>
  <si>
    <t>Executive Leadership</t>
  </si>
  <si>
    <t>Human-Centered Leadership</t>
  </si>
  <si>
    <t>Leading with Purpose</t>
  </si>
  <si>
    <t>Executive Influence</t>
  </si>
  <si>
    <t>Leading with Vision</t>
  </si>
  <si>
    <t>Sanyin Siang on Strategic Mentoring</t>
  </si>
  <si>
    <t>Ken Blanchard on Servant Leadership</t>
  </si>
  <si>
    <t>Emerging Leader Foundations</t>
  </si>
  <si>
    <t>Leadership Foundations: Leadership Styles and Models</t>
  </si>
  <si>
    <t>Leadership: Practical Skills</t>
  </si>
  <si>
    <t>Leadership Foundations</t>
  </si>
  <si>
    <t>Management Foundations</t>
  </si>
  <si>
    <t>Implementing Continuous Improvement: A Case Study</t>
  </si>
  <si>
    <t>Developing Assertive Leadership</t>
  </si>
  <si>
    <t>Leadership Tips, Tactics and Advice</t>
  </si>
  <si>
    <t>Key Mental Shifts for Servant Leadership</t>
  </si>
  <si>
    <t>Developing Credibility as a Leader</t>
  </si>
  <si>
    <t>Leading at a Distance</t>
  </si>
  <si>
    <t>Leading with Emotional Intelligence</t>
  </si>
  <si>
    <t>Leading with Stories</t>
  </si>
  <si>
    <t>Coaching Skills for Leaders and Managers</t>
  </si>
  <si>
    <t>Lead Like a Boss</t>
  </si>
  <si>
    <t>Leading Effectively</t>
  </si>
  <si>
    <t>Business Ethics for Managers and Leaders</t>
  </si>
  <si>
    <t>Lessons in Enlightened Leadership</t>
  </si>
  <si>
    <t>Leading and Motivating People with Different Personalities</t>
  </si>
  <si>
    <t>Coaching Virtually</t>
  </si>
  <si>
    <t>The Secret: What Great Leaders Know and Do (getAbstract Summary)</t>
  </si>
  <si>
    <t>Conducting Motivational 1-on-1 Reviews</t>
  </si>
  <si>
    <t>Jeff Weiner on Leading like a CEO</t>
  </si>
  <si>
    <t>The Leader’s Guide to Mindfulness (getAbstract Summary)</t>
  </si>
  <si>
    <t>Supporting Your Team as Offices Reopen</t>
  </si>
  <si>
    <t>Leading When You're Not in Charge</t>
  </si>
  <si>
    <t>Become a Courageous Female Leader</t>
  </si>
  <si>
    <t>Superhuman Innovation (Blinkist Summary)</t>
  </si>
  <si>
    <t>Inclusive Mindset</t>
  </si>
  <si>
    <t>Project Leadership</t>
  </si>
  <si>
    <t>Navigating Complexity in Your Organization</t>
  </si>
  <si>
    <t>Leading through Chaos</t>
  </si>
  <si>
    <t>Overcoming Obstacles to Leading with Confidence</t>
  </si>
  <si>
    <t>Effective Sponsorship Across Difference (for Sponsors)</t>
  </si>
  <si>
    <t>Leading with a Growth Mindset</t>
  </si>
  <si>
    <t>Fostering Belonging as a Leader</t>
  </si>
  <si>
    <t>Leadership Skills for The Future</t>
  </si>
  <si>
    <t>How to Successfully Lead a PMO</t>
  </si>
  <si>
    <t>Leading Projects</t>
  </si>
  <si>
    <t>Predictive Analytics Essential Training for Executives</t>
  </si>
  <si>
    <t>How Leaders Can Motivate Others by Creating Meaning</t>
  </si>
  <si>
    <t>Mastering Organizational Chaos</t>
  </si>
  <si>
    <t>Bill George on Self-Awareness, Authenticity, and Leadership</t>
  </si>
  <si>
    <t>Fred Kofman on Accountability</t>
  </si>
  <si>
    <t>The Fearless Organization (Blinkist Summary)</t>
  </si>
  <si>
    <t>What's Next: Reinventing Work in the New Normal</t>
  </si>
  <si>
    <t>Leadership in Tech</t>
  </si>
  <si>
    <t>Leading with a Heavy Heart</t>
  </si>
  <si>
    <t>Managing Others Effectively</t>
  </si>
  <si>
    <t>Advance Your Skills as a Manager</t>
  </si>
  <si>
    <t>Become a Manager</t>
  </si>
  <si>
    <t>Become a Senior Manager</t>
  </si>
  <si>
    <t>Talent Management</t>
  </si>
  <si>
    <t>Grow Your Impact as a Mentor</t>
  </si>
  <si>
    <t>Creating the Conditions for Others to Thrive</t>
  </si>
  <si>
    <t>Managing and Leading Developers</t>
  </si>
  <si>
    <t xml:space="preserve">Managing Others Effectively </t>
  </si>
  <si>
    <t>Coaching New Managers</t>
  </si>
  <si>
    <t>Simple Manager Tools that Cure the Under-Management Epidemic</t>
  </si>
  <si>
    <t>Managers as Multipliers of Well-Being</t>
  </si>
  <si>
    <t>Motivate Remote Teams</t>
  </si>
  <si>
    <t>New Manager Foundations</t>
  </si>
  <si>
    <t>Performance Management: Setting Goals and Managing Performance</t>
  </si>
  <si>
    <t>Management: Top Tips</t>
  </si>
  <si>
    <t>Managing Teams</t>
  </si>
  <si>
    <t>Managing Introverts</t>
  </si>
  <si>
    <t>Coaching New Hires</t>
  </si>
  <si>
    <t>Be the Manager People Won't Leave</t>
  </si>
  <si>
    <t>Managing Up, Down, and Across the Organization</t>
  </si>
  <si>
    <t>Delegating Tasks</t>
  </si>
  <si>
    <t>Managing Generation Z</t>
  </si>
  <si>
    <t>Coaching Employees through Difficult Situations</t>
  </si>
  <si>
    <t>Developing Executive Presence</t>
  </si>
  <si>
    <t>Managing Skills for Remote Leaders</t>
  </si>
  <si>
    <t>Leadership through Feedback</t>
  </si>
  <si>
    <t>How to Be an Effective Remote Manager</t>
  </si>
  <si>
    <t>Delegating from a Distance</t>
  </si>
  <si>
    <t>Management Excellence at Microsoft: Model, Coach, Care</t>
  </si>
  <si>
    <t>Become a Better Coach for Your Team</t>
  </si>
  <si>
    <t>Configure and Manage Office 365 Workload Integrations (Office 365/Microsoft 365)</t>
  </si>
  <si>
    <t>Mindful Leadership</t>
  </si>
  <si>
    <t>Just Ask: Todd Dewett on Management and Leadership</t>
  </si>
  <si>
    <t>Recognizing and Rewarding Your Workers</t>
  </si>
  <si>
    <t>Building a Coaching Culture: Improving Performance Through Timely Feedback</t>
  </si>
  <si>
    <t>The Superbosses Playbook</t>
  </si>
  <si>
    <t>Creating a Communications Strategy</t>
  </si>
  <si>
    <t>Foundations of Performance Management</t>
  </si>
  <si>
    <t>Sales Management. Simplified. (Blinkist Summary)</t>
  </si>
  <si>
    <t>Operational Excellence and Process Improvement</t>
  </si>
  <si>
    <t>Become a Business Operations Associate</t>
  </si>
  <si>
    <t>Mergers &amp; Acquisitions</t>
  </si>
  <si>
    <t>Becoming a Six Sigma Black Belt</t>
  </si>
  <si>
    <t>Becoming a Six Sigma Green Belt</t>
  </si>
  <si>
    <t>Become a Six Sigma Yellow Belt</t>
  </si>
  <si>
    <t>Build a Privacy Program</t>
  </si>
  <si>
    <t>Digital Transformation</t>
  </si>
  <si>
    <t xml:space="preserve">Improve Processes and Deliver Operational Excellence </t>
  </si>
  <si>
    <t>Creating a Product-Centric Organization</t>
  </si>
  <si>
    <t>Stay Ahead in Sustainability and Green Building</t>
  </si>
  <si>
    <t>Skip-Level Meetings</t>
  </si>
  <si>
    <t>Understand GDPR and Data Privacy</t>
  </si>
  <si>
    <t>Scaling Up Excellence: Getting to More Without Settling for Less (Blinkist Summary)</t>
  </si>
  <si>
    <t>Workplace Visualization</t>
  </si>
  <si>
    <t>DevOps Foundations: Lean and Agile</t>
  </si>
  <si>
    <t>DevOps Foundations: Accelerating Continuous Delivery in the Enterprise</t>
  </si>
  <si>
    <t>Microsoft Power Automate: Advanced Business Automation</t>
  </si>
  <si>
    <t>A3 Problem Solving for Continuous Improvement</t>
  </si>
  <si>
    <t>Cost Reduction: Cut Costs and Maximize Profits</t>
  </si>
  <si>
    <t>DevOps Foundations</t>
  </si>
  <si>
    <t>Inventory Management Foundations</t>
  </si>
  <si>
    <t>Job Skills: Supply Chain and Operations</t>
  </si>
  <si>
    <t>Lean Foundations</t>
  </si>
  <si>
    <t>Lean Inventory Management</t>
  </si>
  <si>
    <t>Lean Six Sigma Foundations</t>
  </si>
  <si>
    <t>Operations Management Foundations</t>
  </si>
  <si>
    <t>Supply Chain Foundations</t>
  </si>
  <si>
    <t>Understanding Business</t>
  </si>
  <si>
    <t>Lean Deep Dive: Job Instruction</t>
  </si>
  <si>
    <t>Implementing Lean: A Case Study</t>
  </si>
  <si>
    <t>From Resisting to Embracing Lean: A Case Study</t>
  </si>
  <si>
    <t>Outsourcing Fundamentals</t>
  </si>
  <si>
    <t>Outsourcing: Managing Service Transition</t>
  </si>
  <si>
    <t>The Most Important Content KPIs for Creators</t>
  </si>
  <si>
    <t>Developing Organizational Awareness</t>
  </si>
  <si>
    <t>Revenue, Staffing, and Expense Models Explained</t>
  </si>
  <si>
    <t>Pricing Strategy Explained</t>
  </si>
  <si>
    <t>Quality Management Foundations</t>
  </si>
  <si>
    <t>Supply Chain and Operations Management Tips</t>
  </si>
  <si>
    <t>Understanding Logistics</t>
  </si>
  <si>
    <t>Implementing a Vulnerability Management Lifecycle</t>
  </si>
  <si>
    <t>Business Process Improvement</t>
  </si>
  <si>
    <t>Enterprise Agile: Changing Your Culture</t>
  </si>
  <si>
    <t>Implementing Supply Chain Management</t>
  </si>
  <si>
    <t>Lean Six Sigma: Analyze, Improve, and Control Tools</t>
  </si>
  <si>
    <t>Lean Six Sigma: Define and Measure Tools</t>
  </si>
  <si>
    <t>Lean Technology Strategy: Starting Your Business Transformation</t>
  </si>
  <si>
    <t>Operational Excellence Work-Out and Kaizen Facilitator</t>
  </si>
  <si>
    <t>Product Management: Building a Product Strategy</t>
  </si>
  <si>
    <t>Purchasing Foundations</t>
  </si>
  <si>
    <t>Six Sigma: Green Belt</t>
  </si>
  <si>
    <t>Managing Logistics</t>
  </si>
  <si>
    <t>Agile Software Development: Clean Coding Practices</t>
  </si>
  <si>
    <t>SAP Ariba Supply Chain Collaboration Overview</t>
  </si>
  <si>
    <t>Introduction to SAP BI/BW</t>
  </si>
  <si>
    <t>SAP BI/BW: Project Design and Implementation</t>
  </si>
  <si>
    <t>Following the Digital Thread</t>
  </si>
  <si>
    <t>Supply Chain Basics For Everyone</t>
  </si>
  <si>
    <t>Operational Excellence Foundations</t>
  </si>
  <si>
    <t>Supply Chain and Operations Careers: Certification Tips and Tricks</t>
  </si>
  <si>
    <t>How to Make Strategic Thinking a Habit</t>
  </si>
  <si>
    <t>Outsourcing Critical Success Factors</t>
  </si>
  <si>
    <t>Outsourcing Management</t>
  </si>
  <si>
    <t>Presentation Skills</t>
  </si>
  <si>
    <t>Presentation Tips for Pitching to Investors</t>
  </si>
  <si>
    <t>Leading Productive Meetings</t>
  </si>
  <si>
    <t>Develop Your Presentation Skills</t>
  </si>
  <si>
    <t>Graphic Facilitation for Productive Team Meetings</t>
  </si>
  <si>
    <t>Getting Started with Microsoft PowerPoint</t>
  </si>
  <si>
    <t>Improve Your Presentation Skills</t>
  </si>
  <si>
    <t>Establishing Credibility as a Speaker</t>
  </si>
  <si>
    <t>Master Microsoft PowerPoint</t>
  </si>
  <si>
    <t>Learning PowerPoint 2019</t>
  </si>
  <si>
    <t>Managing Meetings</t>
  </si>
  <si>
    <t>Overcoming Your Fear of Public Speaking</t>
  </si>
  <si>
    <t>Public Speaking Foundations</t>
  </si>
  <si>
    <t>Public Speaking: Energize and Engage Your Audience</t>
  </si>
  <si>
    <t>How to Present and Stay on Point</t>
  </si>
  <si>
    <t>How to Project Vocal Confidence</t>
  </si>
  <si>
    <t>Speaking Confidently and Effectively</t>
  </si>
  <si>
    <t>Boosting Your Confidence, Public Speaking and Performance</t>
  </si>
  <si>
    <t>Stepping Up Your Webcam Video Presence</t>
  </si>
  <si>
    <t>Business Analysis: Essential Facilitation and Workshop Skills</t>
  </si>
  <si>
    <t>Engaging Your Virtual Audience</t>
  </si>
  <si>
    <t>PowerPoint 2019 Essential Training</t>
  </si>
  <si>
    <t>Impromptu Speaking</t>
  </si>
  <si>
    <t>Data-Driven Presentations with Excel and PowerPoint (365/2019)</t>
  </si>
  <si>
    <t>Creating and Giving Business Presentations</t>
  </si>
  <si>
    <t>Making Great Sales Presentations</t>
  </si>
  <si>
    <t>Meeting Facilitation</t>
  </si>
  <si>
    <t>Visual Storytelling in PowerPoint</t>
  </si>
  <si>
    <t>Managing Your Anxiety While Presenting</t>
  </si>
  <si>
    <t>Connecting with Your Audience Using Video</t>
  </si>
  <si>
    <t>How to Create and Run a Brilliant Remote Workshop</t>
  </si>
  <si>
    <t>17 PR Mistakes to Avoid</t>
  </si>
  <si>
    <t>Finding Your Idea Hook</t>
  </si>
  <si>
    <t>Presenting to Senior Executives</t>
  </si>
  <si>
    <t>Master Confident Presentations</t>
  </si>
  <si>
    <t>Shane Snow on Storytelling</t>
  </si>
  <si>
    <t>Delivery Tips for Speaking in Public</t>
  </si>
  <si>
    <t>Presentation Tips Weekly</t>
  </si>
  <si>
    <t>Project Management</t>
  </si>
  <si>
    <t>Lean Technology Strategy: Economic Frameworks for Portfolio and Product Management</t>
  </si>
  <si>
    <t>Become an Agile Project Manager</t>
  </si>
  <si>
    <t>How to Be an Effective Project Sponsor</t>
  </si>
  <si>
    <t>Delivering Results with a Business-focused PMO</t>
  </si>
  <si>
    <t>Project Management Skills for Leaders</t>
  </si>
  <si>
    <t>Become a Government Project Manager</t>
  </si>
  <si>
    <t>Creating a Culture of Service</t>
  </si>
  <si>
    <t>Become a Healthcare Project Manager</t>
  </si>
  <si>
    <t>Become a Portfolio Manager</t>
  </si>
  <si>
    <t>Mistakes to Avoid in Agile Project Management</t>
  </si>
  <si>
    <t>Become an Outsourcing Specialist</t>
  </si>
  <si>
    <t>Become a Product Manager</t>
  </si>
  <si>
    <t>Agile Project Leadership</t>
  </si>
  <si>
    <t>Become a Program Manager</t>
  </si>
  <si>
    <t>Become a Project Coordinator</t>
  </si>
  <si>
    <t>Project Management: Choosing the Right Online Tool</t>
  </si>
  <si>
    <t>Become a Project Manager</t>
  </si>
  <si>
    <t>Project Management Foundations: Lessons Learned</t>
  </si>
  <si>
    <t>Become a Project Scheduler</t>
  </si>
  <si>
    <t>Job Interview Tips for Project Managers</t>
  </si>
  <si>
    <t>Become a Six Sigma Black Belt</t>
  </si>
  <si>
    <t>Business Analysis Foundations: Enterprise</t>
  </si>
  <si>
    <t>Become a Six Sigma Green Belt</t>
  </si>
  <si>
    <t>Complex Project Tips and Tricks</t>
  </si>
  <si>
    <t>Project Management for Creative Projects</t>
  </si>
  <si>
    <t>Become a Software Project Manager</t>
  </si>
  <si>
    <t>Becoming an Agile Coach</t>
  </si>
  <si>
    <t>Become a Supply Chain Manager</t>
  </si>
  <si>
    <t>Project Management Foundations: Integration</t>
  </si>
  <si>
    <t>Become a Technical Program Manager</t>
  </si>
  <si>
    <t>Project Management Foundations: Small Projects</t>
  </si>
  <si>
    <t xml:space="preserve">Develop Your Project Management Skills </t>
  </si>
  <si>
    <t>Project Management: Preventing Scope Creep</t>
  </si>
  <si>
    <t>Improve Your Business Analysis Skills</t>
  </si>
  <si>
    <t>Project Management Foundations: Ethics</t>
  </si>
  <si>
    <t>Prepare for the PMI ACP Certification</t>
  </si>
  <si>
    <t>Skilled Trades: Resumes and Portfolios</t>
  </si>
  <si>
    <t>Stay Ahead in Construction Management</t>
  </si>
  <si>
    <t>Project Management Foundations: Requirements</t>
  </si>
  <si>
    <t>Project Management Foundations: Teams</t>
  </si>
  <si>
    <t>Software Project Management Foundations</t>
  </si>
  <si>
    <t>Project Management Simplified</t>
  </si>
  <si>
    <t>Hoshin Planning</t>
  </si>
  <si>
    <t>Project Management Tips</t>
  </si>
  <si>
    <t>Introducing the PMBOK® Guide—Seventh Edition</t>
  </si>
  <si>
    <t>Project Management Foundations: Quality</t>
  </si>
  <si>
    <t>Project Manager to Project Motivator: Unlock the Secrets of Strengths-Based Project Management</t>
  </si>
  <si>
    <t>Agile: It's Not Just for Software</t>
  </si>
  <si>
    <t>Managing Projects as Offices Reopen</t>
  </si>
  <si>
    <t>Mindfulness: A Critical Skill for Project Managers</t>
  </si>
  <si>
    <t>Build a Successful Career in Project Management</t>
  </si>
  <si>
    <t>Project Management Reinvented for Non-Project Managers</t>
  </si>
  <si>
    <t>Asking Effective Questions During Requirements Elicitation</t>
  </si>
  <si>
    <t>Project Canvas: A Simple Framework to Learn Project Management Fundamentals</t>
  </si>
  <si>
    <t>Transition Management for Agile Environments</t>
  </si>
  <si>
    <t>Project Management Foundations</t>
  </si>
  <si>
    <t>Product Management Tips</t>
  </si>
  <si>
    <t>Managing Project Stakeholders</t>
  </si>
  <si>
    <t>Transitioning from Waterfall to Agile Project Management</t>
  </si>
  <si>
    <t>Construction Industry: Safety</t>
  </si>
  <si>
    <t>Introduction to Disciplined Agile</t>
  </si>
  <si>
    <t>What Is Program Management?</t>
  </si>
  <si>
    <t>Project Management Foundations: Communication</t>
  </si>
  <si>
    <t>What Is a PMO?</t>
  </si>
  <si>
    <t>What Is Scrum?</t>
  </si>
  <si>
    <t>Comparing Agile versus Waterfall Project Management</t>
  </si>
  <si>
    <t>LinkedIn Learning Highlights: Project Management</t>
  </si>
  <si>
    <t>Emotional Intelligence for Project Managers (Blinkist Summary)</t>
  </si>
  <si>
    <t>Gemba Kaizen: A Commonsense Approach to Continuous Improvement (Blinkist Summary)</t>
  </si>
  <si>
    <t>Become a Project Management Entrepreneur</t>
  </si>
  <si>
    <t>Managing Change on an Agile Project</t>
  </si>
  <si>
    <t>Why Projects Fail and How to Improve Their Success</t>
  </si>
  <si>
    <t>Change Management with Limited Resources</t>
  </si>
  <si>
    <t>Data-Driven Project Management: Project Metrics That Matter</t>
  </si>
  <si>
    <t>Creating a Program Strategy</t>
  </si>
  <si>
    <t>Blending Project Management Methods</t>
  </si>
  <si>
    <t>Exam Tips: Certified Associate in Project Management (CAPM)®</t>
  </si>
  <si>
    <t>Product Management: Building a Product Roadmap</t>
  </si>
  <si>
    <t>Project Management Foundations: Budgets</t>
  </si>
  <si>
    <t>Project Management Foundations: Procurement</t>
  </si>
  <si>
    <t>Project Management Foundations: Risk</t>
  </si>
  <si>
    <t>The Top PMO Challenges</t>
  </si>
  <si>
    <t>Trello for Agile Teams</t>
  </si>
  <si>
    <t>Jira: Basic Administration</t>
  </si>
  <si>
    <t>Agile Rebranding</t>
  </si>
  <si>
    <t>What Is Disciplined Agile?</t>
  </si>
  <si>
    <t>Basecamp: Project Management Best Practices</t>
  </si>
  <si>
    <t>Tailoring Project Delivery</t>
  </si>
  <si>
    <t>Hybrid Project Management: Do What Works</t>
  </si>
  <si>
    <t>Agile Project Management with Microsoft Project</t>
  </si>
  <si>
    <t>Project Management: Technical Projects</t>
  </si>
  <si>
    <t>How to Manage Lean Six Sigma Projects: Part I</t>
  </si>
  <si>
    <t>Project Resource Management</t>
  </si>
  <si>
    <t>Advanced Agile: The Team's Mindset</t>
  </si>
  <si>
    <t>How to Manage Lean Six Sigma Projects: Part II</t>
  </si>
  <si>
    <t>Sales Knowledge and Sales Skills</t>
  </si>
  <si>
    <t>Become a Sales Manager</t>
  </si>
  <si>
    <t>Become a Sales Representative</t>
  </si>
  <si>
    <t>Retail Sales Management</t>
  </si>
  <si>
    <t>Become a Retail Sales Associate</t>
  </si>
  <si>
    <t>Sales Leadership: Building a Thriving Coaching Culture</t>
  </si>
  <si>
    <t>Build Your Skills in Customer Billing Support</t>
  </si>
  <si>
    <t>Sales Coaching</t>
  </si>
  <si>
    <t>Build Your Skills in Sales Development</t>
  </si>
  <si>
    <t>Sales Management Foundations</t>
  </si>
  <si>
    <t>Sales Forecasting</t>
  </si>
  <si>
    <t>Develop Your Customer Service Skills</t>
  </si>
  <si>
    <t>Inside Sales: Managing Sales Rep Personas</t>
  </si>
  <si>
    <t xml:space="preserve">Develop Your Sales Knowledge and Skills </t>
  </si>
  <si>
    <t>The Neuroscience of Selling Remotely</t>
  </si>
  <si>
    <t>Salesforce Essential Training</t>
  </si>
  <si>
    <t>Purpose-Driven Sales</t>
  </si>
  <si>
    <t>3 Simple Steps to the Perfect Sales Pitch</t>
  </si>
  <si>
    <t>Sales: Precall Prep for Virtual or In-Person Deals</t>
  </si>
  <si>
    <t>Inside Sales</t>
  </si>
  <si>
    <t>Sales Strategies and Approaches in a New World of Selling</t>
  </si>
  <si>
    <t>Inclusive Selling: Selling Across Culture, Race, and Gender Differences</t>
  </si>
  <si>
    <t>Delivering a Great Virtual Sales Pitch</t>
  </si>
  <si>
    <t>Sales Foundations</t>
  </si>
  <si>
    <t>Networking for Sales Professionals</t>
  </si>
  <si>
    <t>Following Up after a Sales Meeting</t>
  </si>
  <si>
    <t>Sales Discovery</t>
  </si>
  <si>
    <t>Social Selling Foundations</t>
  </si>
  <si>
    <t>Cold Calling Mastery</t>
  </si>
  <si>
    <t>Prepare Yourself for a Career in Sales</t>
  </si>
  <si>
    <t>Creating Your Sales Process</t>
  </si>
  <si>
    <t>Sales Fundamentals</t>
  </si>
  <si>
    <t>Cold Calling: Overcoming Sales Objections</t>
  </si>
  <si>
    <t>Selling with Authenticity</t>
  </si>
  <si>
    <t>Cold-Calling Directors and Executives</t>
  </si>
  <si>
    <t>Mastering Authentic Influence for Highly Successful Sales</t>
  </si>
  <si>
    <t>How to Make Work More Meaningful</t>
  </si>
  <si>
    <t>Mindful Productivity</t>
  </si>
  <si>
    <t>Embracing Change with Mindfulness</t>
  </si>
  <si>
    <t>Winding Down: Get a Better Night’s Sleep</t>
  </si>
  <si>
    <t>Mindful Stress Management</t>
  </si>
  <si>
    <t>Introduction to Gratitude Meditation</t>
  </si>
  <si>
    <t>Introduction to Mind Like Sky Meditation</t>
  </si>
  <si>
    <t>Introduction to Loving-Kindness Meditation</t>
  </si>
  <si>
    <t>Introduction to Forgiveness Meditation</t>
  </si>
  <si>
    <t>Introduction to Visualization Meditation</t>
  </si>
  <si>
    <t>Overcoming Rejection</t>
  </si>
  <si>
    <t>The 52 Best Sales Prospecting Tips</t>
  </si>
  <si>
    <t>Sales Time Management</t>
  </si>
  <si>
    <t>How to Prepare for Your Negotiations</t>
  </si>
  <si>
    <t>Three Tips for Dealing with Deception in Negotiations</t>
  </si>
  <si>
    <t>The Top Three Negotiation Myths</t>
  </si>
  <si>
    <t>How to Save Face in a Negotiation</t>
  </si>
  <si>
    <t>Mindsets and Strategies for Negotiation Success</t>
  </si>
  <si>
    <t>Sales Well-being: Managing Anxiety, Burnout, and Rejection</t>
  </si>
  <si>
    <t>Startup Stories: Clothing Salesman Invents Baby Harness</t>
  </si>
  <si>
    <t>Reframing to Overcome Sales Objections</t>
  </si>
  <si>
    <t>How to Overcome a Sales Slump</t>
  </si>
  <si>
    <t>Creating Powerful Sales Proposals</t>
  </si>
  <si>
    <t>The Science of Sales</t>
  </si>
  <si>
    <t>Sales Prospecting</t>
  </si>
  <si>
    <t>Identify Sales Growth Opportunities</t>
  </si>
  <si>
    <t>Sales Negotiation</t>
  </si>
  <si>
    <t>Persuasive Selling</t>
  </si>
  <si>
    <t>Key Account Management</t>
  </si>
  <si>
    <t>Develop a Service Orientation</t>
  </si>
  <si>
    <t>Sales: Customer Success</t>
  </si>
  <si>
    <t>Sales Pipeline Management</t>
  </si>
  <si>
    <t>Sales: Data-Driven Sales Management</t>
  </si>
  <si>
    <t>Social Selling Benchmarks and Scorecard</t>
  </si>
  <si>
    <t>Cross-Selling</t>
  </si>
  <si>
    <t>Sales: Handling Objections</t>
  </si>
  <si>
    <t>Sales Enablement</t>
  </si>
  <si>
    <t>Empathy for Sales Professionals</t>
  </si>
  <si>
    <t>Asking Great Sales Questions</t>
  </si>
  <si>
    <t>Selling with Empathy during Uncertain Times</t>
  </si>
  <si>
    <t>Cold Email Prospecting</t>
  </si>
  <si>
    <t>Managing Your Sales Process</t>
  </si>
  <si>
    <t>Sales and the Science of Trust</t>
  </si>
  <si>
    <t>Controlling the Sale</t>
  </si>
  <si>
    <t>Selling Using Champions</t>
  </si>
  <si>
    <t>Cold Calling: The First Seven Seconds</t>
  </si>
  <si>
    <t>The Persuasion Code: The Neuroscience of Sales</t>
  </si>
  <si>
    <t>Sales: Closing Strategies</t>
  </si>
  <si>
    <t>Advanced Persuasive Selling: Persuading Different Personality Types</t>
  </si>
  <si>
    <t>Selling to the C-Suite</t>
  </si>
  <si>
    <t>Advanced Lead Generation</t>
  </si>
  <si>
    <t>Flip the Script: A Toolkit for Sellers and Negotiators (Blinkist Summary)</t>
  </si>
  <si>
    <t>How to Create a Life of Meaning and Purpose</t>
  </si>
  <si>
    <t>Strategic Planning and Strategic Thinking</t>
  </si>
  <si>
    <t>Applying Lean, DevOps, and Agile to Your IT Organization</t>
  </si>
  <si>
    <t>Creating a Culture of Strategy Execution</t>
  </si>
  <si>
    <t>Global Strategy</t>
  </si>
  <si>
    <t>Digital Strategy</t>
  </si>
  <si>
    <t>Become a Business Unit Manager</t>
  </si>
  <si>
    <t xml:space="preserve">Develop Your Strategic Planning Skills </t>
  </si>
  <si>
    <t>Developing a Competitive Strategy</t>
  </si>
  <si>
    <t>Designing Growth Strategies</t>
  </si>
  <si>
    <t>Strategic Partnerships: Ecosystems and Platforms</t>
  </si>
  <si>
    <t>Digital Technologies Case Studies: AI, IOT, Robotics, Blockchain</t>
  </si>
  <si>
    <t>Strategic Partnerships</t>
  </si>
  <si>
    <t>Strategic Planning Foundations</t>
  </si>
  <si>
    <t>Strategic Planning: Case Studies</t>
  </si>
  <si>
    <t>Business Leadership, Social Change, and Movements</t>
  </si>
  <si>
    <t>Planning for the Remote-First, Work-from-Anywhere Organization</t>
  </si>
  <si>
    <t>Management Foundations: Advanced Applications</t>
  </si>
  <si>
    <t>How to Be More Strategic in Six Steps</t>
  </si>
  <si>
    <t>Business Law for Managers</t>
  </si>
  <si>
    <t>Everything as a Service (XaaS) is the Future of Business</t>
  </si>
  <si>
    <t>Multipliers: How the Best Leaders Make Everyone Smarter (Blinkist Summary)</t>
  </si>
  <si>
    <t>How to Become a Thought Leader and Advance Your Career</t>
  </si>
  <si>
    <t>Business Development: Strategic Planning</t>
  </si>
  <si>
    <t>Strategic Thinking</t>
  </si>
  <si>
    <t>Defining and Segmenting Competition</t>
  </si>
  <si>
    <t>Creating a Unique Competitive Advantage</t>
  </si>
  <si>
    <t>Business Lessons from a Chess Champion</t>
  </si>
  <si>
    <t>Supply Chain Analytics Foundations</t>
  </si>
  <si>
    <t>Business Analysis Foundations: Strategy Analysis</t>
  </si>
  <si>
    <t>Strategic Pricing for Products and Services</t>
  </si>
  <si>
    <t>International Business Foundations</t>
  </si>
  <si>
    <t>Safeguarding AI</t>
  </si>
  <si>
    <t>The 45-Minute Business Plan</t>
  </si>
  <si>
    <t>Business Analysis: Essential Tools and Techniques</t>
  </si>
  <si>
    <t>Business Analysis for Busy Professionals</t>
  </si>
  <si>
    <t>The New Age of Risk Management Strategy for Business</t>
  </si>
  <si>
    <t>Thinking In New Boxes: A New Paradigm for Business Creativity</t>
  </si>
  <si>
    <t>Azure for Architects: Design a Migration Strategy</t>
  </si>
  <si>
    <t>Ethical Hacking: Cryptography</t>
  </si>
  <si>
    <t>Azure for Architects: Design a Business Continuity Strategy</t>
  </si>
  <si>
    <t>Cybersecurity Foundations</t>
  </si>
  <si>
    <t>Talent Development</t>
  </si>
  <si>
    <t>The Future of Work: The Necessary Skills of Your Future Workforce</t>
  </si>
  <si>
    <t>Become an Administrative Professional</t>
  </si>
  <si>
    <t xml:space="preserve">Develop, Motivate, and Retain Employees </t>
  </si>
  <si>
    <t>Creating a Positive and Healthy Work Environment</t>
  </si>
  <si>
    <t>Diversity, Inclusion and Belonging for Leaders and Managers</t>
  </si>
  <si>
    <t>Ram Charan on Coaching High Potentials</t>
  </si>
  <si>
    <t>Managing Multiple Generations</t>
  </si>
  <si>
    <t>Working with an Executive Coach</t>
  </si>
  <si>
    <t>Virtual Performance Reviews and Feedback</t>
  </si>
  <si>
    <t>Lean Technology Strategy: Building High-Performing Teams</t>
  </si>
  <si>
    <t>Delivering Employee Feedback</t>
  </si>
  <si>
    <t>Coaching for Results</t>
  </si>
  <si>
    <t>Persuasive Coaching</t>
  </si>
  <si>
    <t>Make the Move from Individual Contributor to Manager</t>
  </si>
  <si>
    <t>Women Transforming Tech: Tips for Career Success</t>
  </si>
  <si>
    <t>Foundations of Corporate Training</t>
  </si>
  <si>
    <t>Effective Sponsorship Across Difference (for Protégés)</t>
  </si>
  <si>
    <t>Becoming an Inspiring Mentor</t>
  </si>
  <si>
    <t>Basketball Legend Bill Walton (Thirty Minute Mentors)</t>
  </si>
  <si>
    <t>The Secrets to Success at Work</t>
  </si>
  <si>
    <t>Increase Visibility to Advance Your Career</t>
  </si>
  <si>
    <t>How to Be a Good Mentee and Mentor</t>
  </si>
  <si>
    <t>Executive Coaching</t>
  </si>
  <si>
    <t>All You Have to Do Is Ask: How to Ask for Help When You Need It</t>
  </si>
  <si>
    <t>How to Succeed in a Case Study Interview</t>
  </si>
  <si>
    <t>Jeff Weiner on Establishing a Culture and a Plan for Scaling</t>
  </si>
  <si>
    <t>Ideation for Leaders</t>
  </si>
  <si>
    <t>Recruit and Maximize Talent</t>
  </si>
  <si>
    <t>Recruiting Diverse Talent as a Hiring Manager</t>
  </si>
  <si>
    <t>Performance Management: Conducting Performance Reviews</t>
  </si>
  <si>
    <t>Using Feedback to Drive Performance</t>
  </si>
  <si>
    <t>Managing for Results</t>
  </si>
  <si>
    <t>Performance Management: Improving Employee Performance</t>
  </si>
  <si>
    <t>The Upskilling Imperative (Blinkist Summary)</t>
  </si>
  <si>
    <t>Values Diversity, Inclusion, and Belonging</t>
  </si>
  <si>
    <t>Leading Globally</t>
  </si>
  <si>
    <t>Diversity, Inclusion and Belonging for All</t>
  </si>
  <si>
    <t>Stay Ahead in All Things DIBs</t>
  </si>
  <si>
    <t>Developing a Diversity, Inclusion, and Belonging Program</t>
  </si>
  <si>
    <t>Transition from Military to Civilian Employment</t>
  </si>
  <si>
    <t>Digital Accessibility for the Modern Workplace</t>
  </si>
  <si>
    <t>Transition from Military to Student Life</t>
  </si>
  <si>
    <t>Be an Inclusive Organization People Won't Leave</t>
  </si>
  <si>
    <t>Leading Your Org on a Journey of Allyship</t>
  </si>
  <si>
    <t>Women Transforming Tech: Navigating Your Career</t>
  </si>
  <si>
    <t>Managing Someone Older Than You</t>
  </si>
  <si>
    <t>Understanding and Supporting ADHD Colleagues in the Workplace</t>
  </si>
  <si>
    <t>A Manager's Guide to Inclusive Teams</t>
  </si>
  <si>
    <t>Driving Inclusion with Empathy</t>
  </si>
  <si>
    <t>Empowering BIPOC through Mentorship</t>
  </si>
  <si>
    <t>Supporting Allyship and Anti-Racism at Work</t>
  </si>
  <si>
    <t>Diversity and Inclusion in a Global Enterprise</t>
  </si>
  <si>
    <t>Out and Proud: Approaching LGBT Issues in the Workplace</t>
  </si>
  <si>
    <t>Diversity, Inclusion, and Belonging</t>
  </si>
  <si>
    <t>Teaching with LinkedIn Learning</t>
  </si>
  <si>
    <t>Marketing to Diverse Audiences</t>
  </si>
  <si>
    <t>Overcoming Imposter Syndrome</t>
  </si>
  <si>
    <t>Women Transforming Tech: Building Your Brand</t>
  </si>
  <si>
    <t>Finding and Doing the One Thing</t>
  </si>
  <si>
    <t>Own It: The Power of Women at Work</t>
  </si>
  <si>
    <t>Podcast Pioneer: Jad Abumrad and His Radiolab Journey</t>
  </si>
  <si>
    <t>CEO Mona Ataya Redefines the Working Mother</t>
  </si>
  <si>
    <t>Multinational Communication in the Workplace</t>
  </si>
  <si>
    <t>Connecting Engagement and Inclusion to a Culture of Performance</t>
  </si>
  <si>
    <t>Branding Your Authentic Self</t>
  </si>
  <si>
    <t>Mentorship, Sponsorship, and Lifting Others as You Climb</t>
  </si>
  <si>
    <t>Mindfulness, Diversity, and the Quest for Inclusion</t>
  </si>
  <si>
    <t>Developing Your Authentic Self to Ignite Change</t>
  </si>
  <si>
    <t>How to Succeed as a Latina in a Global Work Environment</t>
  </si>
  <si>
    <t>Gender in Negotiation</t>
  </si>
  <si>
    <t>Proven Success Strategies for Women at Work</t>
  </si>
  <si>
    <t>Communicating about Culturally Sensitive Issues</t>
  </si>
  <si>
    <t>Understanding and Supporting LGBTQ+ Employees</t>
  </si>
  <si>
    <t>Getting a Seat at the Table and Making It Count</t>
  </si>
  <si>
    <t>Understanding and Supporting Asian Employees</t>
  </si>
  <si>
    <t>Communicating Across Cultures</t>
  </si>
  <si>
    <t>Confronting Bias: Thriving Across Our Differences</t>
  </si>
  <si>
    <t>Creating Change: Diversity and Inclusion in the Tech Industry</t>
  </si>
  <si>
    <t>Developing Cross-Cultural Intelligence</t>
  </si>
  <si>
    <t>Social Interactions for Multinational Teams</t>
  </si>
  <si>
    <t>Cultivating Cultural Competence and Inclusion</t>
  </si>
  <si>
    <t>Fighting Gender Bias at Work</t>
  </si>
  <si>
    <t>Awakening Compassion at Work (Blinkist Summary)</t>
  </si>
  <si>
    <t>Just Ask: Kwame Christian on Discussing Race</t>
  </si>
  <si>
    <t>Color and Cultural Connections</t>
  </si>
  <si>
    <t>Becoming a Male Ally at Work</t>
  </si>
  <si>
    <t>Digital Accessibility for the Modern Workplace (with Audio Descriptions)</t>
  </si>
  <si>
    <t>Succeeding as an LGBT Professional</t>
  </si>
  <si>
    <t>Discussing Racism with Dr. Christina Greer</t>
  </si>
  <si>
    <t>Becoming an Ally to All</t>
  </si>
  <si>
    <t>Architectural Design: The WE Way for Workplace Inclusivity</t>
  </si>
  <si>
    <t>Success Strategies for Women in the Workplace</t>
  </si>
  <si>
    <t>Equity First: The Path to Inclusion and Belonging</t>
  </si>
  <si>
    <t>Leadership Strategies for Women</t>
  </si>
  <si>
    <t>Uncovering Unconscious Bias in Recruiting and Interviewing</t>
  </si>
  <si>
    <t>Writing Skills and Writing Proficiency</t>
  </si>
  <si>
    <t>Editing Mastery: How to Edit Writing to Perfection</t>
  </si>
  <si>
    <t>Writing Case Studies</t>
  </si>
  <si>
    <t xml:space="preserve">Develop Your Writing Skills </t>
  </si>
  <si>
    <t>Writing White Papers</t>
  </si>
  <si>
    <t>Grammar Girl’s Quick and Dirty Tips for Better Writing</t>
  </si>
  <si>
    <t>Tips for Better Business Writing</t>
  </si>
  <si>
    <t>Writing a Marketing Plan</t>
  </si>
  <si>
    <t>Writing Emails People Want to Read</t>
  </si>
  <si>
    <t>Is There A Book In You? Learn to Create Your Own Masterpiece</t>
  </si>
  <si>
    <t>Technical Writing: Quick Start Guides</t>
  </si>
  <si>
    <t>Writing Articles</t>
  </si>
  <si>
    <t>Writing a Tech Resume</t>
  </si>
  <si>
    <t>Writing in Plain Language</t>
  </si>
  <si>
    <t>Productivity Hacks for Writers</t>
  </si>
  <si>
    <t>Writing a Compelling Blog Post</t>
  </si>
  <si>
    <t>Writing Formal Business Letters and Emails</t>
  </si>
  <si>
    <t>Writing with Flair: How to Become an Exceptional Writer</t>
  </si>
  <si>
    <t>Writing with Impact</t>
  </si>
  <si>
    <t>Writing: The Craft of Story</t>
  </si>
  <si>
    <t>Conquering Writer's Block</t>
  </si>
  <si>
    <t>Tips for Writing Business Emails</t>
  </si>
  <si>
    <t>Writing with Commonly Confused Words</t>
  </si>
  <si>
    <t>Sell Your Novel to a Major Publisher</t>
  </si>
  <si>
    <t>The Foundations of Fiction</t>
  </si>
  <si>
    <t>Ninja Writing: The Four Levels of Writing Mastery</t>
  </si>
  <si>
    <t>Self-care, Well-being, Mindfulness</t>
  </si>
  <si>
    <t>Balancing Multiple Roles as a Leader</t>
  </si>
  <si>
    <t>Staying Positive and Productive during Uncertainty</t>
  </si>
  <si>
    <t>Support your Mental Health During Challenging Times</t>
  </si>
  <si>
    <t>The Culture Code (Blinkist Summary)</t>
  </si>
  <si>
    <t>Supporting Your Well-Being during Times of Change and Uncertainty</t>
  </si>
  <si>
    <t>How to Be a Positive Leader (Blinkist Summary)</t>
  </si>
  <si>
    <t>Managing Your Well-Being as a Leader</t>
  </si>
  <si>
    <t>Leading with Empathy</t>
  </si>
  <si>
    <t>Career Wellness Nano Tips with Shadé Zahrai</t>
  </si>
  <si>
    <t>Sharing Your Best Self at Work</t>
  </si>
  <si>
    <t>Use an Entrepreneurial Mindset to Find Success and Fulfillment at Work</t>
  </si>
  <si>
    <t>Practices for Regulating Your Nervous System and Reducing Stress</t>
  </si>
  <si>
    <t>Cultivate Healthy Ambition</t>
  </si>
  <si>
    <t>Overcoming Overwhelm</t>
  </si>
  <si>
    <t>Well-being in the Workplace</t>
  </si>
  <si>
    <t>Using Your Mind to Change Your Brain</t>
  </si>
  <si>
    <t>Chair Work: Yoga Fitness and Stretching at Your Desk</t>
  </si>
  <si>
    <t>De-stress: Meditation and Movement for Stress Management</t>
  </si>
  <si>
    <t>Stop Stressing and Keep Moving Forward</t>
  </si>
  <si>
    <t>How to Have Compassionate Presence</t>
  </si>
  <si>
    <t>Mindfulness for Beginners</t>
  </si>
  <si>
    <t>Computer and Text Neck Stretching Exercises</t>
  </si>
  <si>
    <t>The Mindful Workday</t>
  </si>
  <si>
    <t>Taking a Break from Your Phone</t>
  </si>
  <si>
    <t>Ergonomics 101</t>
  </si>
  <si>
    <t>Meditations to Change Your Brain</t>
  </si>
  <si>
    <t>Sky Yogi: Relax and Stretch for a Better Flight</t>
  </si>
  <si>
    <t>Boost Emotional Intelligence with Mindfulness</t>
  </si>
  <si>
    <t>Pushing Past Your Prior Limits</t>
  </si>
  <si>
    <t>Establishing Evening Routines to Optimize the Day Ahead</t>
  </si>
  <si>
    <t>Achieving More through Smart Energy Management</t>
  </si>
  <si>
    <t>Confidence: How to Overcome Self-Doubt, Insecurity, and Fears</t>
  </si>
  <si>
    <t>Strategies to Improve Self-Awareness</t>
  </si>
  <si>
    <t>Lose Your Fear of Asking Questions at Work</t>
  </si>
  <si>
    <t>Vulnerability: The Workplace Superpower Disguised as a Weakness</t>
  </si>
  <si>
    <t>Prepare for Returning to the Workplace</t>
  </si>
  <si>
    <t>Aligning Your Values with Work, Life, and Everything In Between</t>
  </si>
  <si>
    <t>Improving Emotional Intelligence with Mindfulness</t>
  </si>
  <si>
    <t>Mindful Eating</t>
  </si>
  <si>
    <t>Habits for Becoming Your Most Effective Self</t>
  </si>
  <si>
    <t>Manage Burnout at Work with These Simple Strategies</t>
  </si>
  <si>
    <t>Don't Take Yes for an Answer (Blinkist Summary)</t>
  </si>
  <si>
    <t>Strategies to Get (and Stay) Unstuck</t>
  </si>
  <si>
    <t>Mindset (Blinkist Summary)</t>
  </si>
  <si>
    <t>Upgrading Your Confidence and Courage at Work</t>
  </si>
  <si>
    <t>How to Have a Happier Workweek</t>
  </si>
  <si>
    <t>How to Find and Use Your Strengths</t>
  </si>
  <si>
    <t>Increasing Confidence by Increasing Self-Awareness</t>
  </si>
  <si>
    <t>Emotional Intelligence Basics</t>
  </si>
  <si>
    <t>Managing Your Energy</t>
  </si>
  <si>
    <t>Building Better Routines</t>
  </si>
  <si>
    <t>Head Strong (Blinkist Summary)</t>
  </si>
  <si>
    <t>Stop Overthinking and Manage Your Inner Critic</t>
  </si>
  <si>
    <t>How to Beat Burnout, Exhaustion, and Stress</t>
  </si>
  <si>
    <t>Break Free from the Negative Chatter in Your Head</t>
  </si>
  <si>
    <t>Training Your Mind to Overcome Pressure and Underperformance</t>
  </si>
  <si>
    <t>Facilities Management: Social Distancing and PPE</t>
  </si>
  <si>
    <t>Mindful Meditations for Work and Life</t>
  </si>
  <si>
    <t>Thriving @ Work: Leveraging the Connection between Well-Being and Productivity</t>
  </si>
  <si>
    <t>Unsubscribe: How to Kill Email Anxiety, Avoid Distractions, and Get Real Work Done (Blinkist Summary)</t>
  </si>
  <si>
    <t>Noise (Blinkist Summary)</t>
  </si>
  <si>
    <t>Balancing Work and Life</t>
  </si>
  <si>
    <t>How to Beat Workplace Loneliness</t>
  </si>
  <si>
    <t>The Art of Impossible (Blinkist Summary)</t>
  </si>
  <si>
    <t>The Joy of Missing Out (Blinkist Summary)</t>
  </si>
  <si>
    <t>It's All Possible (Blinkist Summary)</t>
  </si>
  <si>
    <t>Exceptional (Blinkist Summary)</t>
  </si>
  <si>
    <t>Good Vibes, Good Life (Blinkist Summary)</t>
  </si>
  <si>
    <t>Greg McKeown on the Art of Getting Effortless Results (Without Burning Out)</t>
  </si>
  <si>
    <t>Navigating Fear of Missing Out (FOMO) at Work</t>
  </si>
  <si>
    <t>Gretchen Rubin on Creating Great Workplace Habits</t>
  </si>
  <si>
    <t>Being the Best You: Self-Improvement Modeling</t>
  </si>
  <si>
    <t>Supporting Your Mental Health While Working from Home</t>
  </si>
  <si>
    <t>Life Mastery: Achieving Happiness and Success</t>
  </si>
  <si>
    <t>The Five Thieves of Happiness (getAbstract Summary)</t>
  </si>
  <si>
    <t>Essentials of Mindfulness and Compassion with Scott Shute</t>
  </si>
  <si>
    <t>How to Manage Feeling Overwhelmed</t>
  </si>
  <si>
    <t>Managing Depression in the Workplace</t>
  </si>
  <si>
    <t>Recharge Your Energy for Peak Performance</t>
  </si>
  <si>
    <t>Managing Anxiety in the Workplace</t>
  </si>
  <si>
    <t>Mindfulness Practices</t>
  </si>
  <si>
    <t>Beating Procrastination</t>
  </si>
  <si>
    <t>How to Have a Great Day at Work With Caroline Webb</t>
  </si>
  <si>
    <t>Confidence-Building Strategies for Work and Life</t>
  </si>
  <si>
    <t>The Step-By-Step Guide to Reinventing Yourself</t>
  </si>
  <si>
    <t>Mel Robbins on Confidence</t>
  </si>
  <si>
    <t>The Miracle Morning (Blinkist Summary)</t>
  </si>
  <si>
    <t>The Power of Habit (Blinkist Summary)</t>
  </si>
  <si>
    <t>Leadership Skills</t>
  </si>
  <si>
    <t>Become a Leader People Love</t>
  </si>
  <si>
    <t>Risk-Taking for Leaders</t>
  </si>
  <si>
    <t>Leadership Upskilling in a Zoom Economy</t>
  </si>
  <si>
    <t>Leading Global Organisations</t>
  </si>
  <si>
    <t>Coaching Yourself through the Ambiguity of Leading</t>
  </si>
  <si>
    <t>10 Mistakes Leaders Should Avoid</t>
  </si>
  <si>
    <t>Making More Impact as a Middle Manager</t>
  </si>
  <si>
    <t>How to Build Credibility as a Leader</t>
  </si>
  <si>
    <t>Leading in Government</t>
  </si>
  <si>
    <t>Advice for Leaders during a Crisis</t>
  </si>
  <si>
    <t>How Leaders Can Connect Empathy and Results</t>
  </si>
  <si>
    <t>Leaders Eat Last: Why Some Teams Pull Together and Others Don't (Blinkist Summary)</t>
  </si>
  <si>
    <t>Understanding the Leadership Behaviors That Can Sabotage Your Success</t>
  </si>
  <si>
    <t>Leadership Presence in Action</t>
  </si>
  <si>
    <r>
      <rPr>
        <rFont val="Century Gothic"/>
        <b/>
        <color rgb="FF434343"/>
        <sz val="20.0"/>
      </rPr>
      <t>How to use this on-demand content mapping document</t>
    </r>
    <r>
      <rPr>
        <rFont val="Century Gothic"/>
        <sz val="20.0"/>
      </rPr>
      <t xml:space="preserve">
</t>
    </r>
    <r>
      <rPr>
        <rFont val="Century Gothic"/>
        <sz val="14.0"/>
      </rPr>
      <t xml:space="preserve">Content is refreshed </t>
    </r>
    <r>
      <rPr>
        <rFont val="Century Gothic"/>
        <b/>
        <sz val="14.0"/>
      </rPr>
      <t>quarterly</t>
    </r>
    <r>
      <rPr>
        <rFont val="Century Gothic"/>
        <sz val="14.0"/>
      </rPr>
      <t xml:space="preserve"> - </t>
    </r>
    <r>
      <rPr>
        <rFont val="Century Gothic"/>
        <b/>
        <color rgb="FF0563C1"/>
        <sz val="14.0"/>
      </rPr>
      <t>last updated: June 1st, 2022</t>
    </r>
  </si>
  <si>
    <t>Use LinkedIn Learning to Support Your Organization's and Employees' Professional Development</t>
  </si>
  <si>
    <t xml:space="preserve">This document is designed to help LinkedIn Learning customers curate content that aligns to top requested competencies and supports the needs of all levels of management. 
</t>
  </si>
  <si>
    <r>
      <rPr>
        <rFont val="Century Gothic"/>
        <sz val="13.0"/>
      </rPr>
      <t xml:space="preserve">We define a </t>
    </r>
    <r>
      <rPr>
        <rFont val="Century Gothic"/>
        <b/>
        <sz val="13.0"/>
      </rPr>
      <t>competency</t>
    </r>
    <r>
      <rPr>
        <rFont val="Century Gothic"/>
        <sz val="13.0"/>
      </rPr>
      <t xml:space="preserve"> as the capability to apply a set of related knowledge, skills, and abilities to successfully perform critical tasks or functions in a specific setting.</t>
    </r>
  </si>
  <si>
    <r>
      <rPr>
        <rFont val="Century Gothic"/>
        <sz val="13.0"/>
      </rPr>
      <t xml:space="preserve">
Go to the</t>
    </r>
    <r>
      <rPr>
        <rFont val="Century Gothic"/>
        <color rgb="FF1155CC"/>
        <sz val="13.0"/>
        <u/>
      </rPr>
      <t xml:space="preserve"> </t>
    </r>
    <r>
      <rPr>
        <rFont val="Century Gothic"/>
        <b/>
        <color rgb="FF1155CC"/>
        <sz val="13.0"/>
        <u/>
      </rPr>
      <t xml:space="preserve">Table of Contents </t>
    </r>
    <r>
      <rPr>
        <rFont val="Century Gothic"/>
        <sz val="13.0"/>
      </rPr>
      <t xml:space="preserve">tab for a list of the top competencies most frequently requested by LinkedIn Learning customers. 
In this tab you'll find the following:
•Each competency title contains a hyperlink that will navigate you to its respective tab
</t>
    </r>
  </si>
  <si>
    <r>
      <rPr>
        <rFont val="Century Gothic"/>
        <sz val="13.0"/>
      </rPr>
      <t xml:space="preserve">
Go to the </t>
    </r>
    <r>
      <rPr>
        <rFont val="Century Gothic"/>
        <b/>
        <color rgb="FF808000"/>
        <sz val="13.0"/>
        <u/>
      </rPr>
      <t>Competency Learning Paths</t>
    </r>
    <r>
      <rPr>
        <rFont val="Century Gothic"/>
        <sz val="13.0"/>
      </rPr>
      <t xml:space="preserve"> tab for a list of custom created Learning Paths that align with our topmost requested competencies.
In this tab you'll find the following:
• Learning Path titles contain embeded links
• A description of the skills with which it will equip the learner
• Our Competency Learning Paths are tailored for the general audience</t>
    </r>
  </si>
  <si>
    <t xml:space="preserve">
Each competency tab contains a full list of courses with respective content profiency level, management level, and course duration. 
•All course titles and Learning Paths contain embeded links
•It contains alternative terms that may also be used to describe that competency
</t>
  </si>
  <si>
    <t xml:space="preserve">As a LinkedIn Learning admin, you can leverage these competency Learning Paths by creating a duplicate. You can then add sections to your learning path, update their descriptions, or rename them as an admin.
</t>
  </si>
  <si>
    <r>
      <rPr>
        <rFont val="Century Gothic"/>
        <b/>
        <color rgb="FF1C4587"/>
        <sz val="27.0"/>
      </rPr>
      <t>English|</t>
    </r>
    <r>
      <rPr>
        <rFont val="Century Gothic"/>
        <b/>
        <color rgb="FF434343"/>
        <sz val="25.0"/>
      </rPr>
      <t>Top most requested competency mapping</t>
    </r>
  </si>
  <si>
    <t>Updated on: 06/01/2022</t>
  </si>
  <si>
    <t>Competencies</t>
  </si>
  <si>
    <t>#</t>
  </si>
  <si>
    <t>Click on a title below to go directly to the tab for full list of courses and learning paths mapped to that competency</t>
  </si>
  <si>
    <t>Alternative names for each competency</t>
  </si>
  <si>
    <t>Drive for Results, Action Oriented, Personal Accountability, Initiating Action, Initiative, Personal Initiative, Time Management, Perseverance, Drives Results, Being Resilient, Work Standards, Passion for Results</t>
  </si>
  <si>
    <t>Flexibility, Manages Ambiguity, Dealing With Paradox, Situational Adaptability, Dealing with Ambiguity, Active Learning, Learning Agility, Applied Learning, Nimble Learning, Learning on the Fly, Continuous Learning, Continuous Improvement</t>
  </si>
  <si>
    <t xml:space="preserve"> </t>
  </si>
  <si>
    <t>Effective Teams,Team Building, Building a Successful Team, Influence Teams, Inspiring Employees</t>
  </si>
  <si>
    <t>Building Trust, Peer Relationships, Collaboration, Approachability, Teamwork, Building Strategic Working Relationships, Gaining Commitment, Compassion, Building Positive Working Relationships, Integrity and Trust, Builds Networks, Instills Trust</t>
  </si>
  <si>
    <t>Communicates Effectively, Communication, Interpersonal Savvy, Influencing Others, Oral Communication, Interpersonal Communication, Organizational Communication, Listening</t>
  </si>
  <si>
    <t>Conflict Management, Conflict Resolution, Managing Conflict, Confronting Direct Reports</t>
  </si>
  <si>
    <t>Marketing, Market Research, Content Marketing, Digital Marketing, Market Analysis, SEO, Social Media Marketing, Marketing Strategies</t>
  </si>
  <si>
    <t>Innovation, Creativity, Ingenuity, Cultivates Innovation</t>
  </si>
  <si>
    <t>Decision Quality, Judgement, Timely Decision-Making, Decision-Making, Problem/Opportunity Analysis, Operational Decision Making, Problem Solving, Analytical Thinking, Logical Reasoning, Intellectual Horsepower</t>
  </si>
  <si>
    <t>Customer Service Orientation, Building Customer Loyalty, Customer Service</t>
  </si>
  <si>
    <t>Insights, analytics, inspecting, cleansing, transforming, and modeling data with the goal of discovering useful information. Informing conclusions and supporting decision-making</t>
  </si>
  <si>
    <t>Neuroscience of learning, flipped classroom, online learning, instructional design, digital teaching techniques, and strategies</t>
  </si>
  <si>
    <t>Financial Acumen, Financial Decision-Making, Financial Management</t>
  </si>
  <si>
    <t>Strategic Positioner, Credible Activist, Paradox Navigator, Culture and Change Champion, Total Reward Steward, Compliance Manager, Business Acumen, Human Resource Expertise, Relationship Management, Consultation, Leadership and Navigation, Global and Cultural Effectiveness, Ethical Practice, Critical Evaluation</t>
  </si>
  <si>
    <t>Artificial intelligence (AI), development of 'thinking' computer systems. expert system, systems can learn from data, foundational science and technologies</t>
  </si>
  <si>
    <t>Change Leadership, Innovation Management, Managing Change, Facilitating Change</t>
  </si>
  <si>
    <t>Leadership, Leading People, Inspiring Others, Leading Through Vision and Values</t>
  </si>
  <si>
    <t>Directing Others, Directs Work, Managing Others, Delegation, Delegating Responsibility, Managing Direct Reports, Managerial Courage, Managing and Measuring Work, Command Skills, Follow Up</t>
  </si>
  <si>
    <t>Operational Management, Continuous improvement, Process Excellence, Organisation Excellence</t>
  </si>
  <si>
    <t>Presenting, Presenting Information, Public Speaking, Oral Communication, Communicating Effectively, Training &amp; Presenting Information</t>
  </si>
  <si>
    <t>Time Management, Plan and Schedule Resources, Risk Management, Team Management, Communication and Leadership Skills, Quality Control</t>
  </si>
  <si>
    <t>Prospecting, Upselling, Time Management, Build Rapport, Lead Conversations, Drive Buying Decisions, Emotional Intelligence, Maintain Positivity, Build Solutions, Negotiating Prowess, Growth Opportunities, Networking, Influencing, Persuasive Selling</t>
  </si>
  <si>
    <t>Strategic Decision-Making, Establishing Strategic Direction, Strategic Decision Making, Planning, Perspective, Strategic Agility, Strategic Mindset</t>
  </si>
  <si>
    <t>Develops Talent, Developing Direct Reports, Coaching, Developing Direct Reports and Others, Developing Others</t>
  </si>
  <si>
    <t>Human Capital Management, Driving Engagement, Performance Management</t>
  </si>
  <si>
    <t>Managing Diversity, Leveraging Diversity, Values Differences, Equity, Empathy</t>
  </si>
  <si>
    <t>Writing, Written Communication, Written Expression, Writing Proficiency, Writing Skills, Technical Writing</t>
  </si>
  <si>
    <t xml:space="preserve">Emotional Intelligence, set &amp; keep boundaries, protect your energy, be aware of your stressors, develop mindfulness, stay focus and flexible, improve your work-life balance                                        </t>
  </si>
  <si>
    <t>Develop situational awareness, Inspire and Empower others, Executive Presence, Resolve conflicts, Be a discerning listener, Practice discipline, Honesty/Integrity, Relationship Building, Strategic agility</t>
  </si>
  <si>
    <r>
      <rPr>
        <rFont val="Century Gothic"/>
        <b/>
        <color rgb="FF808000"/>
        <sz val="27.0"/>
      </rPr>
      <t>English|</t>
    </r>
    <r>
      <rPr>
        <rFont val="Century Gothic"/>
        <b/>
        <color rgb="FF434343"/>
        <sz val="24.0"/>
      </rPr>
      <t>Competency Learning Paths</t>
    </r>
  </si>
  <si>
    <t>Competency Learning Paths</t>
  </si>
  <si>
    <t>Navigate to the Learning Path by Clicking on title</t>
  </si>
  <si>
    <t>Descriptions</t>
  </si>
  <si>
    <t>Competency Synonyms</t>
  </si>
  <si>
    <t>Building Accountability and Becoming Results Oriented</t>
  </si>
  <si>
    <t>Learn how to accomplish objectives, exceed your goals, and be more proactive. Discover strategies for taking on greater responsibilities and fulfilling your obligations. Explore ways to establish challenging goals, remain persistent, act decisively, and effectively manage your time and resources.</t>
  </si>
  <si>
    <t>Discover how to maintain effectiveness when experiencing major changes in your work tasks or environment. Find out how to adjust quickly and effectively to learn and work within new work structures, processes, requirements, or cultures.</t>
  </si>
  <si>
    <t>Change Management during the Great Reshuffle</t>
  </si>
  <si>
    <t xml:space="preserve">Unprecedented and volatile times demand that leaders and managers be grounded in perspectives that fit the times. Discover change management approaches and modern-day examples to help you and your team weather the shifting demands of your industry and business. </t>
  </si>
  <si>
    <t>Learn to create and manage teams that work well together—in person or at a distance—to meet short-term and strategic goals. Find out how to build  trust, respect, and cooperation; simplify systems for better coordination and communication; reduce conflict; and enhance innovation and accountability.</t>
  </si>
  <si>
    <t>Learn how to develop and maintain collaborative, constructive, and cooperative working relationships. Identify opportunities to connect teams, departments, units, and organizations. Discover how to interact with others and give them confidence in the intentions of you and your organization.</t>
  </si>
  <si>
    <t>Learn how to clearly convey information and ideas in an engaging manner. Explore how to build trust, communicate effectively, and be heard in all parts of your organization. Learn important interpersonal communication skills and strategies for igniting curiosity, attention, trust, and respect.</t>
  </si>
  <si>
    <t>Learn how to deal effectively with others in antagonistic situations. Discover how to reduce tension or conflict. Review how to effectively settle disputes by focusing on solving the problems at hand—without offending egos. Evaluate the feasibility of alternative dispute resolution mechanisms.</t>
  </si>
  <si>
    <t>Learn how to use effective content and digital marketing techniques to support your objectives and maximize the return on your marketing dollars. Learn about principles and methods for showing, promoting, and selling products or services, including marketing strategies and tactics.</t>
  </si>
  <si>
    <t>Learn how to generate innovative solutions in work situations. Review how to develop, design, and create new applications, ideas, relationships, systems, and products. Discover how to use creative and alternative thinking to develop new ideas for and answers to work-related problems.</t>
  </si>
  <si>
    <t>Develop Critical-Thinking, Decision-Making, and Problem-Solving Skills</t>
  </si>
  <si>
    <t>Learn how to use logic and reasoning to identify the strengths and weaknesses of alternative solutions, conclusions, and approaches to problems. Discover how to question assumptions, apply sound reasoning, break down complex issues into manageable pieces, and grasp the implications of information.</t>
  </si>
  <si>
    <t>Discover how to make your customers and their needs a primary focus, while at the same time developing and sustaining productive customer relationships. Develop skills for listening to customer needs, building rapport with those you're helping, and turning challenging customers into true allies.</t>
  </si>
  <si>
    <t>Develop Your Data Analysis Skills</t>
  </si>
  <si>
    <t>Explore the practice of data analysis. Learn about the process of applying statistical and graphical techniques to data in order to discover useful information. Identify underlying principles, reasons, or facts by breaking down information or data into separate parts.</t>
  </si>
  <si>
    <t>Shift your instructional strategy. Explore a type of blended learning that reverses the traditional learning environment by delivering instruction outside of the classroom. Discover design thinking and learn how to develop an instructional framework that helps learners visualize material.</t>
  </si>
  <si>
    <t>Develop Your Financial and Accounting Skills</t>
  </si>
  <si>
    <t>Review concepts such as financial analysis, accounting, and budgeting. Learn how to use financial data to diagnose business conditions, identify issues, and develop plans. Explore processes to determine how money will be spent to get work done and see how to establish and maintain realistic budgets.</t>
  </si>
  <si>
    <t>Learn the core concepts and knowledge areas necessary to make HR a strategic partner in your business. Develop opportunities and resources to support your company's employee development program. Discover how to empower your HR team to provide the most optimal employee experience.</t>
  </si>
  <si>
    <t>Master the Fundamentals of AI and Machine Learning</t>
  </si>
  <si>
    <t>Do you know the difference between AI and machine learning? Do you know how they affect you, your career path, and the world around us? After taking the courses in this learning path, you'll have a mastery of the concepts and future directions of technologies like artificial intelligence and machine learning. You'll be able to make more informed decisions and contributions in your work environment.</t>
  </si>
  <si>
    <t>Learn how to encourage others to seek opportunities for innovative approaches to addressing problems and opportunities. Discover how to facilitate the implementation and acceptance of change within the workplace.</t>
  </si>
  <si>
    <t>Learn how to influence and support others in the achievement of common goals. Examine how to lead a group and provide inspiration, clarity, and direction. Discover how to rally others and build morale. Learn how to gain commitment by influencing teams to set objectives and buy in on a process.</t>
  </si>
  <si>
    <t>Get the most out of your team while still honoring your company's values and earning your team's respect. Learn about strategic planning, leadership techniques, performance management, and methods used in successful organizations for motivating teams to reach their full potential.</t>
  </si>
  <si>
    <t xml:space="preserve">Directing Others, Directs Work, Managing Others, Delegation, Delegating Responsibility, Managing Direct Reports, Managerial Courage, Managing and Measuring Work, Command Skills, Follow Up </t>
  </si>
  <si>
    <t>Improve Processes and Deliver Operational Excellence</t>
  </si>
  <si>
    <t>Learn how to improve business processes and execute your business strategy more consistently and reliably over time. In this learning path, discover how to apply operational excellence techniques to improve your organization's processes, products, and services.</t>
  </si>
  <si>
    <t>Presentation skills are critical to success in nearly every occupation. Learn how to design presentations that will hold people's attention, present your ideas with confidence, and engage an audience by presenting well‐organized material in an understandable format.</t>
  </si>
  <si>
    <t>Develop Your Project Management Skills</t>
  </si>
  <si>
    <t>Develop your project management skills by learning how to create a quality project plan, execute on that plan, and monitor the results. Discover how to identify and react to outside forces that might influence project goals. Implement best practices to ensure you deliver value for your stakeholders.</t>
  </si>
  <si>
    <t>Develop Your Sales Knowledge and Skills</t>
  </si>
  <si>
    <t>Learn the key skills necessary in today's selling environment—from negotiation to telling great stories and selling with authenticity. Recognize that selling is a partnership. Develop your sales skills, people skills, and ability to create emotional engagement and earn the trust of others.</t>
  </si>
  <si>
    <t>Develop Your Strategic Planning Skills</t>
  </si>
  <si>
    <t>Learn how to plan for and anticipate consequences and trends for your business. Discover how to curate information, identify issues, and forge relationships. Learn how to commit to a course of action, develop alternatives, and use facts, resources, and organizational values to achieve your goals.</t>
  </si>
  <si>
    <t>Recruit and Maximize Talent 
(Talent Management)</t>
  </si>
  <si>
    <t>Learn how to effectively find and recruit talent in a sea of five generations of candidates. Explore the things that millennials and Gen Z workers are looking for. And gain a solid understanding of how to best manage your talent—from managing employee problems to boosting productivity.</t>
  </si>
  <si>
    <t>Develop, Motivate, and Retain Employees 
(Talent Development)</t>
  </si>
  <si>
    <t>Support the development of your employees' skills and abilities. Identify the developmental needs of others and help them thrive at work. Learn how to provide timely guidance and feedback. And learn how to motivate and direct people as they work—all while achieving your organization's objectives.</t>
  </si>
  <si>
    <t xml:space="preserve">Human Capital Management, Driving Engagement, Performance Management </t>
  </si>
  <si>
    <t>Diversity, Inclusion, and Belonging for All</t>
  </si>
  <si>
    <t>Learn about the challenges and opportunities inherent in working in diverse organizations. This transformative learning path reviews current thinking and best practices on essential topics such as bias in all of its forms, cultural competence, communication, allyship, and accountability.</t>
  </si>
  <si>
    <t>Develop Your Writing Skills</t>
  </si>
  <si>
    <t>Learn how to communicate information in a succinct, clear, convincing, and organized manner. Review the fundamentals of correct grammar, punctuation, and spelling. Discover how to produce written information that is appropriate for the intended audience.</t>
  </si>
  <si>
    <t>Learn science-based skills to support your mental health during challenging times. These courses cover topics such as building resilience, minding your mind while working from home, avoiding burnout, managing difficult feelings, and managing your emotions.</t>
  </si>
  <si>
    <t>Emotional Intelligence, set &amp; keep boundaries, protect your energy, be aware of your stressors, develop mindfulness, stay focus and flexible, improve your work-life balance</t>
  </si>
  <si>
    <t>Learn to become a leader others will want to follow. By first developing yourself as a leader, you can take on the most challenging leadership responsibilities: establishing and executing your strategic vision, executing against that vision, and harnessing your most powerful competitive advantage, your people.</t>
  </si>
  <si>
    <t>Executive presence, servant leadership, leading virtually, digital leadership, leading teams, inclusive leadership, leading with vision</t>
  </si>
</sst>
</file>

<file path=xl/styles.xml><?xml version="1.0" encoding="utf-8"?>
<styleSheet xmlns="http://schemas.openxmlformats.org/spreadsheetml/2006/main" xmlns:x14ac="http://schemas.microsoft.com/office/spreadsheetml/2009/9/ac" xmlns:mc="http://schemas.openxmlformats.org/markup-compatibility/2006">
  <fonts count="77">
    <font>
      <sz val="10.0"/>
      <color rgb="FF000000"/>
      <name val="Arial"/>
    </font>
    <font>
      <b/>
      <sz val="12.0"/>
      <color rgb="FFFFFFFF"/>
      <name val="Century Gothic"/>
    </font>
    <font>
      <sz val="12.0"/>
      <color rgb="FF000000"/>
      <name val="Calibri"/>
    </font>
    <font>
      <b/>
      <sz val="12.0"/>
      <color rgb="FF38761D"/>
      <name val="Calibri"/>
    </font>
    <font>
      <b/>
      <u/>
      <sz val="12.0"/>
      <color rgb="FF38761D"/>
      <name val="Calibri"/>
    </font>
    <font>
      <b/>
      <u/>
      <sz val="12.0"/>
      <color rgb="FF38761D"/>
      <name val="Calibri"/>
    </font>
    <font>
      <b/>
      <u/>
      <sz val="12.0"/>
      <color rgb="FF38761D"/>
      <name val="Calibri"/>
    </font>
    <font>
      <b/>
      <u/>
      <sz val="12.0"/>
      <color rgb="FF38761D"/>
      <name val="Calibri"/>
    </font>
    <font>
      <sz val="12.0"/>
      <color rgb="FF999999"/>
      <name val="Calibri"/>
    </font>
    <font>
      <u/>
      <sz val="12.0"/>
      <color rgb="FF0563C1"/>
      <name val="Calibri"/>
    </font>
    <font>
      <b/>
      <sz val="12.0"/>
      <color rgb="FF000000"/>
      <name val="Calibri"/>
    </font>
    <font>
      <u/>
      <sz val="12.0"/>
      <color rgb="FF1155CC"/>
      <name val="Calibri"/>
    </font>
    <font>
      <u/>
      <sz val="12.0"/>
      <color rgb="FF0563C1"/>
      <name val="Calibri"/>
    </font>
    <font>
      <u/>
      <sz val="12.0"/>
      <color rgb="FF1155CC"/>
      <name val="Calibri"/>
    </font>
    <font>
      <u/>
      <color rgb="FF1155CC"/>
      <name val="Arial"/>
    </font>
    <font>
      <u/>
      <sz val="12.0"/>
      <color rgb="FF1155CC"/>
      <name val="Calibri"/>
    </font>
    <font>
      <u/>
      <sz val="12.0"/>
      <color rgb="FF0563C1"/>
      <name val="Calibri"/>
    </font>
    <font>
      <u/>
      <sz val="12.0"/>
      <color rgb="FF0563C1"/>
      <name val="Calibri"/>
    </font>
    <font>
      <u/>
      <color rgb="FF0563C1"/>
      <name val="Arial"/>
    </font>
    <font>
      <u/>
      <sz val="12.0"/>
      <color rgb="FF0563C1"/>
      <name val="Calibri"/>
    </font>
    <font>
      <u/>
      <color rgb="FF1155CC"/>
      <name val="Arial"/>
    </font>
    <font>
      <u/>
      <sz val="12.0"/>
      <color rgb="FF0563C1"/>
      <name val="Calibri"/>
    </font>
    <font/>
    <font>
      <u/>
      <sz val="12.0"/>
      <color rgb="FF1155CC"/>
      <name val="Calibri"/>
    </font>
    <font>
      <u/>
      <sz val="12.0"/>
      <color rgb="FF1155CC"/>
      <name val="Calibri"/>
    </font>
    <font>
      <sz val="12.0"/>
      <name val="Calibri"/>
    </font>
    <font>
      <u/>
      <sz val="12.0"/>
      <color rgb="FF0563C1"/>
      <name val="Calibri"/>
    </font>
    <font>
      <u/>
      <sz val="12.0"/>
      <color rgb="FF0563C1"/>
      <name val="Calibri"/>
    </font>
    <font>
      <name val="Century Gothic"/>
    </font>
    <font>
      <sz val="20.0"/>
      <name val="Century Gothic"/>
    </font>
    <font>
      <sz val="13.0"/>
      <name val="Century Gothic"/>
    </font>
    <font>
      <b/>
      <sz val="13.0"/>
      <name val="&quot;Century Gothic&quot;"/>
    </font>
    <font>
      <u/>
      <sz val="13.0"/>
      <color rgb="FF0000FF"/>
      <name val="Century Gothic"/>
    </font>
    <font>
      <u/>
      <sz val="13.0"/>
      <color rgb="FF0000FF"/>
      <name val="Century Gothic"/>
    </font>
    <font>
      <b/>
      <sz val="25.0"/>
      <color rgb="FF000000"/>
      <name val="Century Gothic"/>
    </font>
    <font>
      <b/>
      <sz val="14.0"/>
      <color rgb="FF434343"/>
      <name val="Century Gothic"/>
    </font>
    <font>
      <b/>
      <sz val="14.0"/>
      <color rgb="FF000000"/>
      <name val="Century Gothic"/>
    </font>
    <font>
      <sz val="10.0"/>
      <color rgb="FF666666"/>
      <name val="Century Gothic"/>
    </font>
    <font>
      <b/>
      <sz val="12.0"/>
      <name val="Century Gothic"/>
    </font>
    <font>
      <b/>
      <sz val="10.0"/>
      <color rgb="FF434343"/>
      <name val="Century Gothic"/>
    </font>
    <font>
      <b/>
      <sz val="12.0"/>
      <color rgb="FF000000"/>
      <name val="Century Gothic"/>
    </font>
    <font>
      <b/>
      <sz val="12.0"/>
      <color rgb="FF0B5394"/>
      <name val="Century Gothic"/>
    </font>
    <font>
      <b/>
      <u/>
      <sz val="12.0"/>
      <color rgb="FF0000FF"/>
      <name val="Century Gothic"/>
    </font>
    <font>
      <sz val="12.0"/>
      <color rgb="FF434343"/>
      <name val="Century Gothic"/>
    </font>
    <font>
      <b/>
      <u/>
      <sz val="12.0"/>
      <color rgb="FF1155CC"/>
      <name val="Century Gothic"/>
    </font>
    <font>
      <color rgb="FFFFFFFF"/>
      <name val="Century Gothic"/>
    </font>
    <font>
      <b/>
      <sz val="15.0"/>
      <color rgb="FFFFFFFF"/>
      <name val="Century Gothic"/>
    </font>
    <font>
      <b/>
      <sz val="13.0"/>
      <color rgb="FF434343"/>
      <name val="Century Gothic"/>
    </font>
    <font>
      <b/>
      <sz val="16.0"/>
      <color rgb="FF666666"/>
      <name val="Century Gothic"/>
    </font>
    <font>
      <b/>
      <sz val="14.0"/>
      <color rgb="FF666666"/>
      <name val="Century Gothic"/>
    </font>
    <font>
      <b/>
      <sz val="13.0"/>
      <color rgb="FF666666"/>
      <name val="Century Gothic"/>
    </font>
    <font>
      <b/>
      <sz val="13.0"/>
      <color rgb="FF000000"/>
      <name val="Century Gothic"/>
    </font>
    <font>
      <b/>
      <sz val="11.0"/>
      <color rgb="FFFFFFFF"/>
      <name val="Century Gothic"/>
    </font>
    <font>
      <b/>
      <sz val="11.0"/>
      <color rgb="FF434343"/>
      <name val="Century Gothic"/>
    </font>
    <font>
      <sz val="10.0"/>
      <color rgb="FFFFFFFF"/>
      <name val="Century Gothic"/>
    </font>
    <font>
      <b/>
      <u/>
      <sz val="12.0"/>
      <color rgb="FF1155CC"/>
      <name val="Century Gothic"/>
    </font>
    <font>
      <sz val="11.0"/>
      <color rgb="FF434343"/>
      <name val="Century Gothic"/>
    </font>
    <font>
      <b/>
      <u/>
      <sz val="12.0"/>
      <color rgb="FF0000FF"/>
      <name val="Century Gothic"/>
    </font>
    <font>
      <sz val="11.0"/>
      <color rgb="FFFFFFFF"/>
      <name val="Century Gothic"/>
    </font>
    <font>
      <b/>
      <sz val="15.0"/>
      <color rgb="FF434343"/>
      <name val="Century Gothic"/>
    </font>
    <font>
      <b/>
      <sz val="13.0"/>
      <color rgb="FF0563C1"/>
      <name val="Century Gothic"/>
    </font>
    <font>
      <b/>
      <sz val="13.0"/>
      <color rgb="FFFFFFFF"/>
      <name val="Century Gothic"/>
    </font>
    <font>
      <b/>
      <sz val="12.0"/>
      <color rgb="FF666666"/>
      <name val="Century Gothic"/>
    </font>
    <font>
      <sz val="12.0"/>
      <color rgb="FF666666"/>
      <name val="Century Gothic"/>
    </font>
    <font>
      <b/>
      <sz val="11.0"/>
      <color rgb="FF0563C1"/>
      <name val="Century Gothic"/>
    </font>
    <font>
      <b/>
      <sz val="12.0"/>
      <color rgb="FF434343"/>
      <name val="Century Gothic"/>
    </font>
    <font>
      <u/>
      <sz val="11.0"/>
      <color rgb="FF0563C1"/>
      <name val="Century Gothic"/>
    </font>
    <font>
      <u/>
      <sz val="11.0"/>
      <color rgb="FF1155CC"/>
      <name val="Century Gothic"/>
    </font>
    <font>
      <u/>
      <sz val="11.0"/>
      <color rgb="FF0563C1"/>
      <name val="Century Gothic"/>
    </font>
    <font>
      <u/>
      <sz val="11.0"/>
      <color rgb="FF0563C1"/>
      <name val="Century Gothic"/>
    </font>
    <font>
      <u/>
      <sz val="11.0"/>
      <color rgb="FF1155CC"/>
      <name val="Century Gothic"/>
    </font>
    <font>
      <u/>
      <sz val="11.0"/>
      <color rgb="FF0563C1"/>
      <name val="Century Gothic"/>
    </font>
    <font>
      <sz val="11.0"/>
      <color rgb="FF1155CC"/>
      <name val="Century Gothic"/>
    </font>
    <font>
      <sz val="11.0"/>
      <color rgb="FF0563C1"/>
      <name val="Century Gothic"/>
    </font>
    <font>
      <u/>
      <sz val="11.0"/>
      <color rgb="FF1155CC"/>
      <name val="Century Gothic"/>
    </font>
    <font>
      <u/>
      <sz val="11.0"/>
      <color rgb="FF0563C1"/>
      <name val="Century Gothic"/>
    </font>
    <font>
      <u/>
      <sz val="11.0"/>
      <color rgb="FF0563C1"/>
      <name val="Century Gothic"/>
    </font>
  </fonts>
  <fills count="7">
    <fill>
      <patternFill patternType="none"/>
    </fill>
    <fill>
      <patternFill patternType="lightGray"/>
    </fill>
    <fill>
      <patternFill patternType="solid">
        <fgColor rgb="FFB7B7B7"/>
        <bgColor rgb="FFB7B7B7"/>
      </patternFill>
    </fill>
    <fill>
      <patternFill patternType="solid">
        <fgColor rgb="FFFFFFFF"/>
        <bgColor rgb="FFFFFFFF"/>
      </patternFill>
    </fill>
    <fill>
      <patternFill patternType="solid">
        <fgColor rgb="FF0B5394"/>
        <bgColor rgb="FF0B5394"/>
      </patternFill>
    </fill>
    <fill>
      <patternFill patternType="solid">
        <fgColor rgb="FF808000"/>
        <bgColor rgb="FF808000"/>
      </patternFill>
    </fill>
    <fill>
      <patternFill patternType="solid">
        <fgColor rgb="FFD9D9D9"/>
        <bgColor rgb="FFD9D9D9"/>
      </patternFill>
    </fill>
  </fills>
  <borders count="33">
    <border/>
    <border>
      <left style="thin">
        <color rgb="FFD9D9D9"/>
      </left>
      <right style="thin">
        <color rgb="FFD9D9D9"/>
      </right>
      <top style="thin">
        <color rgb="FFD9D9D9"/>
      </top>
    </border>
    <border>
      <left style="thin">
        <color rgb="FFD9D9D9"/>
      </left>
      <right style="thin">
        <color rgb="FFD9D9D9"/>
      </right>
      <top style="thin">
        <color rgb="FFD9D9D9"/>
      </top>
      <bottom style="thin">
        <color rgb="FFD9D9D9"/>
      </bottom>
    </border>
    <border>
      <left style="hair">
        <color rgb="FF0563C1"/>
      </left>
      <top style="hair">
        <color rgb="FF0563C1"/>
      </top>
    </border>
    <border>
      <top style="hair">
        <color rgb="FF0563C1"/>
      </top>
    </border>
    <border>
      <right style="hair">
        <color rgb="FF0563C1"/>
      </right>
      <top style="hair">
        <color rgb="FF0563C1"/>
      </top>
    </border>
    <border>
      <left style="hair">
        <color rgb="FF0563C1"/>
      </left>
    </border>
    <border>
      <right style="hair">
        <color rgb="FF0563C1"/>
      </right>
    </border>
    <border>
      <left style="hair">
        <color rgb="FF0563C1"/>
      </left>
      <bottom style="hair">
        <color rgb="FF0563C1"/>
      </bottom>
    </border>
    <border>
      <right style="hair">
        <color rgb="FF0563C1"/>
      </right>
      <bottom style="hair">
        <color rgb="FF0563C1"/>
      </bottom>
    </border>
    <border>
      <bottom style="hair">
        <color rgb="FF0563C1"/>
      </bottom>
    </border>
    <border>
      <bottom style="thin">
        <color rgb="FFFFFFFF"/>
      </bottom>
    </border>
    <border>
      <left style="thin">
        <color rgb="FFFFFFFF"/>
      </left>
      <top style="thin">
        <color rgb="FFFFFFFF"/>
      </top>
      <bottom style="thin">
        <color rgb="FFFFFFFF"/>
      </bottom>
    </border>
    <border>
      <right style="thin">
        <color rgb="FFFFFFFF"/>
      </right>
      <top style="thin">
        <color rgb="FFFFFFFF"/>
      </top>
      <bottom style="thin">
        <color rgb="FFFFFFFF"/>
      </bottom>
    </border>
    <border>
      <top style="thin">
        <color rgb="FFFFFFFF"/>
      </top>
      <bottom style="thin">
        <color rgb="FFFFFFFF"/>
      </bottom>
    </border>
    <border>
      <right style="thin">
        <color rgb="FFFFFFFF"/>
      </right>
    </border>
    <border>
      <left style="thin">
        <color rgb="FFFFFFFF"/>
      </left>
      <right style="thin">
        <color rgb="FFFFFFFF"/>
      </right>
      <top style="thin">
        <color rgb="FFFFFFFF"/>
      </top>
      <bottom style="thin">
        <color rgb="FFFFFFFF"/>
      </bottom>
    </border>
    <border>
      <left style="thin">
        <color rgb="FFFFFFFF"/>
      </left>
      <right style="thin">
        <color rgb="FFFFFFFF"/>
      </right>
    </border>
    <border>
      <left style="thin">
        <color rgb="FFFFFFFF"/>
      </left>
      <right style="thin">
        <color rgb="FFFFFFFF"/>
      </right>
      <bottom style="hair">
        <color rgb="FF0563C1"/>
      </bottom>
    </border>
    <border>
      <right style="thin">
        <color rgb="FFFFFFFF"/>
      </right>
      <bottom style="hair">
        <color rgb="FF0563C1"/>
      </bottom>
    </border>
    <border>
      <left style="thin">
        <color rgb="FF808000"/>
      </left>
      <right style="thin">
        <color rgb="FF808000"/>
      </right>
      <top style="thin">
        <color rgb="FF808000"/>
      </top>
      <bottom style="thin">
        <color rgb="FF808000"/>
      </bottom>
    </border>
    <border>
      <left style="thin">
        <color rgb="FF808000"/>
      </left>
      <top style="thin">
        <color rgb="FF808000"/>
      </top>
      <bottom style="thin">
        <color rgb="FF808000"/>
      </bottom>
    </border>
    <border>
      <right style="thin">
        <color rgb="FF808000"/>
      </right>
      <top style="thin">
        <color rgb="FF808000"/>
      </top>
      <bottom style="thin">
        <color rgb="FF808000"/>
      </bottom>
    </border>
    <border>
      <top style="thin">
        <color rgb="FF808000"/>
      </top>
      <bottom style="thin">
        <color rgb="FF808000"/>
      </bottom>
    </border>
    <border>
      <bottom style="hair">
        <color rgb="FF86967E"/>
      </bottom>
    </border>
    <border>
      <right style="thin">
        <color rgb="FFFFFFFF"/>
      </right>
      <bottom style="hair">
        <color rgb="FF86967E"/>
      </bottom>
    </border>
    <border>
      <bottom style="thin">
        <color rgb="FFD9D9D9"/>
      </bottom>
    </border>
    <border>
      <right style="thin">
        <color rgb="FFD9D9D9"/>
      </right>
      <bottom style="thin">
        <color rgb="FFD9D9D9"/>
      </bottom>
    </border>
    <border>
      <top style="thin">
        <color rgb="FFD9D9D9"/>
      </top>
      <bottom style="thin">
        <color rgb="FFD9D9D9"/>
      </bottom>
    </border>
    <border>
      <right style="thin">
        <color rgb="FFD9D9D9"/>
      </right>
      <top style="thin">
        <color rgb="FFD9D9D9"/>
      </top>
      <bottom style="thin">
        <color rgb="FFD9D9D9"/>
      </bottom>
    </border>
    <border>
      <left style="thin">
        <color rgb="FFD9D9D9"/>
      </left>
      <top style="thin">
        <color rgb="FFD9D9D9"/>
      </top>
      <bottom style="thin">
        <color rgb="FFD9D9D9"/>
      </bottom>
    </border>
    <border>
      <left style="thick">
        <color rgb="FFEFEFEF"/>
      </left>
      <right style="thick">
        <color rgb="FFEFEFEF"/>
      </right>
      <top style="thick">
        <color rgb="FFEFEFEF"/>
      </top>
      <bottom style="thick">
        <color rgb="FFEFEFEF"/>
      </bottom>
    </border>
    <border>
      <left style="thin">
        <color rgb="FFD9D9D9"/>
      </left>
      <right style="thin">
        <color rgb="FFD9D9D9"/>
      </right>
      <bottom style="thin">
        <color rgb="FFD9D9D9"/>
      </bottom>
    </border>
  </borders>
  <cellStyleXfs count="1">
    <xf borderId="0" fillId="0" fontId="0" numFmtId="0" applyAlignment="1" applyFont="1"/>
  </cellStyleXfs>
  <cellXfs count="165">
    <xf borderId="0" fillId="0" fontId="0" numFmtId="0" xfId="0" applyAlignment="1" applyFont="1">
      <alignment readingOrder="0" shrinkToFit="0" vertical="bottom" wrapText="0"/>
    </xf>
    <xf borderId="1" fillId="2" fontId="1" numFmtId="0" xfId="0" applyAlignment="1" applyBorder="1" applyFill="1" applyFont="1">
      <alignment horizontal="left" readingOrder="0" shrinkToFit="0" vertical="center" wrapText="1"/>
    </xf>
    <xf borderId="1" fillId="2" fontId="1" numFmtId="0" xfId="0" applyAlignment="1" applyBorder="1" applyFont="1">
      <alignment horizontal="center" readingOrder="0" vertical="center"/>
    </xf>
    <xf borderId="1" fillId="2" fontId="1" numFmtId="0" xfId="0" applyAlignment="1" applyBorder="1" applyFont="1">
      <alignment horizontal="center" readingOrder="0" shrinkToFit="0" vertical="center" wrapText="1"/>
    </xf>
    <xf borderId="2" fillId="0" fontId="2" numFmtId="0" xfId="0" applyAlignment="1" applyBorder="1" applyFont="1">
      <alignment horizontal="left" readingOrder="0" shrinkToFit="0" vertical="center" wrapText="0"/>
    </xf>
    <xf borderId="2" fillId="0" fontId="3" numFmtId="0" xfId="0" applyAlignment="1" applyBorder="1" applyFont="1">
      <alignment horizontal="center" readingOrder="0" shrinkToFit="0" vertical="center" wrapText="0"/>
    </xf>
    <xf borderId="2" fillId="0" fontId="4" numFmtId="0" xfId="0" applyAlignment="1" applyBorder="1" applyFont="1">
      <alignment horizontal="left" readingOrder="0" shrinkToFit="0" vertical="center" wrapText="0"/>
    </xf>
    <xf borderId="2" fillId="0" fontId="5" numFmtId="0" xfId="0" applyAlignment="1" applyBorder="1" applyFont="1">
      <alignment horizontal="center" readingOrder="0" shrinkToFit="0" vertical="center" wrapText="0"/>
    </xf>
    <xf borderId="2" fillId="0" fontId="6" numFmtId="0" xfId="0" applyAlignment="1" applyBorder="1" applyFont="1">
      <alignment horizontal="center" readingOrder="0" vertical="center"/>
    </xf>
    <xf borderId="2" fillId="0" fontId="7" numFmtId="0" xfId="0" applyAlignment="1" applyBorder="1" applyFont="1">
      <alignment horizontal="center" readingOrder="0" vertical="center"/>
    </xf>
    <xf borderId="2" fillId="0" fontId="8" numFmtId="0" xfId="0" applyAlignment="1" applyBorder="1" applyFont="1">
      <alignment horizontal="center" readingOrder="0" shrinkToFit="0" vertical="center" wrapText="0"/>
    </xf>
    <xf borderId="2" fillId="0" fontId="9" numFmtId="0" xfId="0" applyAlignment="1" applyBorder="1" applyFont="1">
      <alignment horizontal="left" readingOrder="0" shrinkToFit="0" vertical="center" wrapText="0"/>
    </xf>
    <xf borderId="2" fillId="0" fontId="10" numFmtId="0" xfId="0" applyAlignment="1" applyBorder="1" applyFont="1">
      <alignment horizontal="center" readingOrder="0" shrinkToFit="0" vertical="center" wrapText="0"/>
    </xf>
    <xf borderId="2" fillId="0" fontId="2" numFmtId="0" xfId="0" applyAlignment="1" applyBorder="1" applyFont="1">
      <alignment horizontal="center" readingOrder="0" shrinkToFit="0" vertical="center" wrapText="0"/>
    </xf>
    <xf borderId="2" fillId="0" fontId="2" numFmtId="21" xfId="0" applyAlignment="1" applyBorder="1" applyFont="1" applyNumberFormat="1">
      <alignment horizontal="center" readingOrder="0" shrinkToFit="0" vertical="center" wrapText="0"/>
    </xf>
    <xf borderId="2" fillId="0" fontId="11" numFmtId="0" xfId="0" applyAlignment="1" applyBorder="1" applyFont="1">
      <alignment readingOrder="0" vertical="center"/>
    </xf>
    <xf borderId="2" fillId="0" fontId="12" numFmtId="0" xfId="0" applyAlignment="1" applyBorder="1" applyFont="1">
      <alignment horizontal="left" readingOrder="0" shrinkToFit="0" vertical="center" wrapText="0"/>
    </xf>
    <xf borderId="2" fillId="3" fontId="13" numFmtId="0" xfId="0" applyAlignment="1" applyBorder="1" applyFill="1" applyFont="1">
      <alignment readingOrder="0" vertical="center"/>
    </xf>
    <xf borderId="2" fillId="0" fontId="14" numFmtId="0" xfId="0" applyAlignment="1" applyBorder="1" applyFont="1">
      <alignment horizontal="left" readingOrder="0" shrinkToFit="0" vertical="center" wrapText="1"/>
    </xf>
    <xf borderId="2" fillId="0" fontId="15" numFmtId="0" xfId="0" applyAlignment="1" applyBorder="1" applyFont="1">
      <alignment horizontal="left" readingOrder="0" shrinkToFit="0" vertical="center" wrapText="0"/>
    </xf>
    <xf borderId="0" fillId="0" fontId="16" numFmtId="0" xfId="0" applyAlignment="1" applyFont="1">
      <alignment horizontal="left" readingOrder="0" shrinkToFit="0" vertical="center" wrapText="1"/>
    </xf>
    <xf borderId="2" fillId="0" fontId="17" numFmtId="0" xfId="0" applyAlignment="1" applyBorder="1" applyFont="1">
      <alignment vertical="center"/>
    </xf>
    <xf borderId="2" fillId="0" fontId="18" numFmtId="0" xfId="0" applyAlignment="1" applyBorder="1" applyFont="1">
      <alignment horizontal="left" readingOrder="0" shrinkToFit="0" vertical="center" wrapText="1"/>
    </xf>
    <xf borderId="2" fillId="3" fontId="2" numFmtId="0" xfId="0" applyAlignment="1" applyBorder="1" applyFont="1">
      <alignment horizontal="left" readingOrder="0" shrinkToFit="0" vertical="center" wrapText="0"/>
    </xf>
    <xf borderId="2" fillId="3" fontId="8" numFmtId="0" xfId="0" applyAlignment="1" applyBorder="1" applyFont="1">
      <alignment horizontal="center" readingOrder="0" shrinkToFit="0" vertical="center" wrapText="0"/>
    </xf>
    <xf borderId="2" fillId="3" fontId="19" numFmtId="0" xfId="0" applyAlignment="1" applyBorder="1" applyFont="1">
      <alignment horizontal="left" readingOrder="0" shrinkToFit="0" vertical="center" wrapText="0"/>
    </xf>
    <xf borderId="2" fillId="3" fontId="10" numFmtId="0" xfId="0" applyAlignment="1" applyBorder="1" applyFont="1">
      <alignment horizontal="center" readingOrder="0" shrinkToFit="0" vertical="center" wrapText="0"/>
    </xf>
    <xf borderId="2" fillId="3" fontId="2" numFmtId="0" xfId="0" applyAlignment="1" applyBorder="1" applyFont="1">
      <alignment horizontal="center" readingOrder="0" shrinkToFit="0" vertical="center" wrapText="0"/>
    </xf>
    <xf borderId="2" fillId="3" fontId="2" numFmtId="21" xfId="0" applyAlignment="1" applyBorder="1" applyFont="1" applyNumberFormat="1">
      <alignment horizontal="center" readingOrder="0" shrinkToFit="0" vertical="center" wrapText="0"/>
    </xf>
    <xf borderId="2" fillId="3" fontId="20" numFmtId="0" xfId="0" applyAlignment="1" applyBorder="1" applyFont="1">
      <alignment horizontal="left" readingOrder="0" shrinkToFit="0" vertical="center" wrapText="1"/>
    </xf>
    <xf borderId="2" fillId="3" fontId="21" numFmtId="0" xfId="0" applyAlignment="1" applyBorder="1" applyFont="1">
      <alignment vertical="center"/>
    </xf>
    <xf borderId="2" fillId="0" fontId="22" numFmtId="0" xfId="0" applyAlignment="1" applyBorder="1" applyFont="1">
      <alignment vertical="center"/>
    </xf>
    <xf borderId="2" fillId="3" fontId="2" numFmtId="0" xfId="0" applyAlignment="1" applyBorder="1" applyFont="1">
      <alignment horizontal="center" readingOrder="0" shrinkToFit="0" vertical="center" wrapText="0"/>
    </xf>
    <xf borderId="2" fillId="3" fontId="23" numFmtId="0" xfId="0" applyAlignment="1" applyBorder="1" applyFont="1">
      <alignment readingOrder="0" vertical="center"/>
    </xf>
    <xf borderId="2" fillId="0" fontId="24" numFmtId="0" xfId="0" applyAlignment="1" applyBorder="1" applyFont="1">
      <alignment readingOrder="0" vertical="center"/>
    </xf>
    <xf borderId="0" fillId="0" fontId="25" numFmtId="0" xfId="0" applyAlignment="1" applyFont="1">
      <alignment readingOrder="0" shrinkToFit="0" vertical="center" wrapText="1"/>
    </xf>
    <xf borderId="0" fillId="0" fontId="8" numFmtId="0" xfId="0" applyAlignment="1" applyFont="1">
      <alignment horizontal="center" vertical="center"/>
    </xf>
    <xf borderId="0" fillId="0" fontId="26" numFmtId="21" xfId="0" applyAlignment="1" applyFont="1" applyNumberFormat="1">
      <alignment vertical="center"/>
    </xf>
    <xf borderId="0" fillId="0" fontId="10" numFmtId="0" xfId="0" applyAlignment="1" applyFont="1">
      <alignment horizontal="center" vertical="center"/>
    </xf>
    <xf borderId="0" fillId="0" fontId="2" numFmtId="0" xfId="0" applyAlignment="1" applyFont="1">
      <alignment horizontal="center" vertical="center"/>
    </xf>
    <xf borderId="0" fillId="0" fontId="2" numFmtId="21" xfId="0" applyAlignment="1" applyFont="1" applyNumberFormat="1">
      <alignment horizontal="center" readingOrder="0" shrinkToFit="0" vertical="center" wrapText="0"/>
    </xf>
    <xf borderId="0" fillId="0" fontId="27" numFmtId="0" xfId="0" applyAlignment="1" applyFont="1">
      <alignment vertical="center"/>
    </xf>
    <xf borderId="0" fillId="0" fontId="28" numFmtId="0" xfId="0" applyFont="1"/>
    <xf borderId="3" fillId="0" fontId="29" numFmtId="0" xfId="0" applyAlignment="1" applyBorder="1" applyFont="1">
      <alignment horizontal="center" readingOrder="0" vertical="center"/>
    </xf>
    <xf borderId="4" fillId="0" fontId="22" numFmtId="0" xfId="0" applyBorder="1" applyFont="1"/>
    <xf borderId="5" fillId="0" fontId="22" numFmtId="0" xfId="0" applyBorder="1" applyFont="1"/>
    <xf borderId="6" fillId="0" fontId="30" numFmtId="0" xfId="0" applyAlignment="1" applyBorder="1" applyFont="1">
      <alignment readingOrder="0" shrinkToFit="0" vertical="top" wrapText="1"/>
    </xf>
    <xf borderId="0" fillId="0" fontId="31" numFmtId="0" xfId="0" applyAlignment="1" applyFont="1">
      <alignment vertical="top"/>
    </xf>
    <xf borderId="0" fillId="0" fontId="30" numFmtId="0" xfId="0" applyAlignment="1" applyFont="1">
      <alignment readingOrder="0" shrinkToFit="0" vertical="top" wrapText="1"/>
    </xf>
    <xf borderId="7" fillId="0" fontId="28" numFmtId="0" xfId="0" applyBorder="1" applyFont="1"/>
    <xf borderId="0" fillId="0" fontId="31" numFmtId="0" xfId="0" applyAlignment="1" applyFont="1">
      <alignment readingOrder="0" vertical="top"/>
    </xf>
    <xf borderId="0" fillId="0" fontId="30" numFmtId="0" xfId="0" applyAlignment="1" applyFont="1">
      <alignment readingOrder="0" shrinkToFit="0" vertical="top" wrapText="1"/>
    </xf>
    <xf borderId="3" fillId="0" fontId="30" numFmtId="0" xfId="0" applyAlignment="1" applyBorder="1" applyFont="1">
      <alignment readingOrder="0" shrinkToFit="0" vertical="top" wrapText="1"/>
    </xf>
    <xf borderId="5" fillId="0" fontId="32" numFmtId="0" xfId="0" applyAlignment="1" applyBorder="1" applyFont="1">
      <alignment readingOrder="0" shrinkToFit="0" vertical="top" wrapText="1"/>
    </xf>
    <xf borderId="4" fillId="0" fontId="30" numFmtId="0" xfId="0" applyAlignment="1" applyBorder="1" applyFont="1">
      <alignment readingOrder="0" shrinkToFit="0" vertical="top" wrapText="1"/>
    </xf>
    <xf borderId="4" fillId="0" fontId="33" numFmtId="0" xfId="0" applyAlignment="1" applyBorder="1" applyFont="1">
      <alignment readingOrder="0" shrinkToFit="0" vertical="top" wrapText="1"/>
    </xf>
    <xf borderId="5" fillId="0" fontId="28" numFmtId="0" xfId="0" applyBorder="1" applyFont="1"/>
    <xf borderId="6" fillId="0" fontId="28" numFmtId="0" xfId="0" applyBorder="1" applyFont="1"/>
    <xf borderId="7" fillId="0" fontId="28" numFmtId="0" xfId="0" applyAlignment="1" applyBorder="1" applyFont="1">
      <alignment horizontal="center" vertical="top"/>
    </xf>
    <xf borderId="0" fillId="0" fontId="28" numFmtId="0" xfId="0" applyAlignment="1" applyFont="1">
      <alignment horizontal="center" vertical="center"/>
    </xf>
    <xf borderId="7" fillId="0" fontId="30" numFmtId="0" xfId="0" applyAlignment="1" applyBorder="1" applyFont="1">
      <alignment readingOrder="0" shrinkToFit="0" vertical="top" wrapText="1"/>
    </xf>
    <xf borderId="0" fillId="0" fontId="30" numFmtId="0" xfId="0" applyAlignment="1" applyFont="1">
      <alignment horizontal="center" readingOrder="0" shrinkToFit="0" vertical="center" wrapText="1"/>
    </xf>
    <xf borderId="7" fillId="0" fontId="28" numFmtId="0" xfId="0" applyAlignment="1" applyBorder="1" applyFont="1">
      <alignment horizontal="left" vertical="center"/>
    </xf>
    <xf borderId="0" fillId="0" fontId="30" numFmtId="0" xfId="0" applyAlignment="1" applyFont="1">
      <alignment readingOrder="0" shrinkToFit="0" vertical="center" wrapText="1"/>
    </xf>
    <xf borderId="8" fillId="0" fontId="28" numFmtId="0" xfId="0" applyBorder="1" applyFont="1"/>
    <xf borderId="9" fillId="0" fontId="22" numFmtId="0" xfId="0" applyBorder="1" applyFont="1"/>
    <xf borderId="10" fillId="0" fontId="28" numFmtId="0" xfId="0" applyBorder="1" applyFont="1"/>
    <xf borderId="10" fillId="0" fontId="28" numFmtId="0" xfId="0" applyAlignment="1" applyBorder="1" applyFont="1">
      <alignment horizontal="center" vertical="center"/>
    </xf>
    <xf borderId="9" fillId="0" fontId="28" numFmtId="0" xfId="0" applyBorder="1" applyFont="1"/>
    <xf borderId="0" fillId="3" fontId="28" numFmtId="0" xfId="0" applyAlignment="1" applyFont="1">
      <alignment horizontal="center" vertical="center"/>
    </xf>
    <xf borderId="11" fillId="3" fontId="34" numFmtId="0" xfId="0" applyAlignment="1" applyBorder="1" applyFont="1">
      <alignment readingOrder="0" shrinkToFit="0" vertical="center" wrapText="1"/>
    </xf>
    <xf borderId="11" fillId="0" fontId="22" numFmtId="0" xfId="0" applyBorder="1" applyFont="1"/>
    <xf borderId="12" fillId="3" fontId="35" numFmtId="0" xfId="0" applyAlignment="1" applyBorder="1" applyFont="1">
      <alignment horizontal="right" readingOrder="0" shrinkToFit="0" vertical="center" wrapText="1"/>
    </xf>
    <xf borderId="13" fillId="0" fontId="22" numFmtId="0" xfId="0" applyBorder="1" applyFont="1"/>
    <xf borderId="14" fillId="3" fontId="35" numFmtId="0" xfId="0" applyAlignment="1" applyBorder="1" applyFont="1">
      <alignment horizontal="left" readingOrder="0" shrinkToFit="0" vertical="center" wrapText="1"/>
    </xf>
    <xf borderId="14" fillId="3" fontId="35" numFmtId="0" xfId="0" applyAlignment="1" applyBorder="1" applyFont="1">
      <alignment horizontal="center" readingOrder="0" shrinkToFit="0" vertical="center" wrapText="1"/>
    </xf>
    <xf borderId="0" fillId="3" fontId="36" numFmtId="0" xfId="0" applyAlignment="1" applyFont="1">
      <alignment horizontal="center" readingOrder="0" shrinkToFit="0" vertical="center" wrapText="1"/>
    </xf>
    <xf borderId="15" fillId="0" fontId="22" numFmtId="0" xfId="0" applyBorder="1" applyFont="1"/>
    <xf borderId="16" fillId="3" fontId="37" numFmtId="0" xfId="0" applyAlignment="1" applyBorder="1" applyFont="1">
      <alignment horizontal="left" readingOrder="0" shrinkToFit="0" vertical="top" wrapText="1"/>
    </xf>
    <xf borderId="17" fillId="3" fontId="38" numFmtId="0" xfId="0" applyAlignment="1" applyBorder="1" applyFont="1">
      <alignment horizontal="center" readingOrder="0" vertical="center"/>
    </xf>
    <xf borderId="15" fillId="3" fontId="39" numFmtId="0" xfId="0" applyAlignment="1" applyBorder="1" applyFont="1">
      <alignment horizontal="left" readingOrder="0" shrinkToFit="0" vertical="center" wrapText="1"/>
    </xf>
    <xf borderId="0" fillId="3" fontId="40" numFmtId="0" xfId="0" applyAlignment="1" applyFont="1">
      <alignment horizontal="center" readingOrder="0" shrinkToFit="0" vertical="center" wrapText="1"/>
    </xf>
    <xf borderId="0" fillId="4" fontId="28" numFmtId="0" xfId="0" applyAlignment="1" applyFill="1" applyFont="1">
      <alignment horizontal="center" vertical="center"/>
    </xf>
    <xf borderId="18" fillId="0" fontId="41" numFmtId="0" xfId="0" applyAlignment="1" applyBorder="1" applyFont="1">
      <alignment horizontal="center" readingOrder="0" vertical="center"/>
    </xf>
    <xf borderId="19" fillId="0" fontId="42" numFmtId="0" xfId="0" applyAlignment="1" applyBorder="1" applyFont="1">
      <alignment readingOrder="0" shrinkToFit="0" vertical="center" wrapText="1"/>
    </xf>
    <xf borderId="10" fillId="0" fontId="43" numFmtId="0" xfId="0" applyAlignment="1" applyBorder="1" applyFont="1">
      <alignment readingOrder="0" shrinkToFit="0" vertical="center" wrapText="1"/>
    </xf>
    <xf borderId="10" fillId="0" fontId="22" numFmtId="0" xfId="0" applyBorder="1" applyFont="1"/>
    <xf borderId="19" fillId="0" fontId="22" numFmtId="0" xfId="0" applyBorder="1" applyFont="1"/>
    <xf borderId="0" fillId="3" fontId="28" numFmtId="0" xfId="0" applyAlignment="1" applyFont="1">
      <alignment horizontal="center" readingOrder="0" vertical="center"/>
    </xf>
    <xf borderId="19" fillId="0" fontId="44" numFmtId="0" xfId="0" applyAlignment="1" applyBorder="1" applyFont="1">
      <alignment readingOrder="0" shrinkToFit="0" vertical="center" wrapText="1"/>
    </xf>
    <xf borderId="0" fillId="3" fontId="45" numFmtId="0" xfId="0" applyAlignment="1" applyFont="1">
      <alignment horizontal="center" readingOrder="0" vertical="center"/>
    </xf>
    <xf borderId="0" fillId="0" fontId="46" numFmtId="0" xfId="0" applyAlignment="1" applyFont="1">
      <alignment horizontal="center" readingOrder="0" shrinkToFit="0" vertical="center" wrapText="1"/>
    </xf>
    <xf borderId="0" fillId="3" fontId="34" numFmtId="0" xfId="0" applyAlignment="1" applyFont="1">
      <alignment horizontal="left" readingOrder="0" shrinkToFit="0" vertical="center" wrapText="1"/>
    </xf>
    <xf borderId="12" fillId="3" fontId="47" numFmtId="0" xfId="0" applyAlignment="1" applyBorder="1" applyFont="1">
      <alignment horizontal="right" readingOrder="0" shrinkToFit="0" vertical="center" wrapText="1"/>
    </xf>
    <xf borderId="0" fillId="3" fontId="48" numFmtId="0" xfId="0" applyAlignment="1" applyFont="1">
      <alignment horizontal="left" readingOrder="0" shrinkToFit="0" vertical="center" wrapText="1"/>
    </xf>
    <xf borderId="14" fillId="3" fontId="36" numFmtId="0" xfId="0" applyAlignment="1" applyBorder="1" applyFont="1">
      <alignment horizontal="center" readingOrder="0" shrinkToFit="0" vertical="center" wrapText="1"/>
    </xf>
    <xf borderId="14" fillId="0" fontId="22" numFmtId="0" xfId="0" applyBorder="1" applyFont="1"/>
    <xf borderId="14" fillId="3" fontId="49" numFmtId="0" xfId="0" applyAlignment="1" applyBorder="1" applyFont="1">
      <alignment horizontal="left" readingOrder="0" shrinkToFit="0" vertical="center" wrapText="1"/>
    </xf>
    <xf borderId="0" fillId="3" fontId="36" numFmtId="0" xfId="0" applyAlignment="1" applyFont="1">
      <alignment horizontal="center" readingOrder="0" vertical="center"/>
    </xf>
    <xf borderId="15" fillId="3" fontId="36" numFmtId="0" xfId="0" applyAlignment="1" applyBorder="1" applyFont="1">
      <alignment horizontal="center" readingOrder="0" vertical="center"/>
    </xf>
    <xf borderId="0" fillId="3" fontId="50" numFmtId="0" xfId="0" applyAlignment="1" applyFont="1">
      <alignment horizontal="center" readingOrder="0" shrinkToFit="0" vertical="center" wrapText="1"/>
    </xf>
    <xf borderId="0" fillId="3" fontId="51" numFmtId="0" xfId="0" applyAlignment="1" applyFont="1">
      <alignment horizontal="center" readingOrder="0" vertical="center"/>
    </xf>
    <xf borderId="20" fillId="5" fontId="52" numFmtId="0" xfId="0" applyAlignment="1" applyBorder="1" applyFill="1" applyFont="1">
      <alignment horizontal="center" readingOrder="0" shrinkToFit="0" vertical="center" wrapText="1"/>
    </xf>
    <xf borderId="20" fillId="5" fontId="53" numFmtId="0" xfId="0" applyAlignment="1" applyBorder="1" applyFont="1">
      <alignment horizontal="center" readingOrder="0" shrinkToFit="0" vertical="center" wrapText="1"/>
    </xf>
    <xf borderId="21" fillId="5" fontId="53" numFmtId="0" xfId="0" applyAlignment="1" applyBorder="1" applyFont="1">
      <alignment horizontal="center" readingOrder="0" shrinkToFit="0" vertical="center" wrapText="1"/>
    </xf>
    <xf borderId="22" fillId="0" fontId="22" numFmtId="0" xfId="0" applyBorder="1" applyFont="1"/>
    <xf borderId="20" fillId="5" fontId="53" numFmtId="0" xfId="0" applyAlignment="1" applyBorder="1" applyFont="1">
      <alignment horizontal="left" readingOrder="0" shrinkToFit="0" vertical="center" wrapText="1"/>
    </xf>
    <xf borderId="21" fillId="5" fontId="53" numFmtId="0" xfId="0" applyAlignment="1" applyBorder="1" applyFont="1">
      <alignment horizontal="left" readingOrder="0" shrinkToFit="0" vertical="center" wrapText="1"/>
    </xf>
    <xf borderId="23" fillId="0" fontId="22" numFmtId="0" xfId="0" applyBorder="1" applyFont="1"/>
    <xf borderId="0" fillId="0" fontId="54" numFmtId="0" xfId="0" applyAlignment="1" applyFont="1">
      <alignment horizontal="left" shrinkToFit="0" vertical="center" wrapText="1"/>
    </xf>
    <xf borderId="24" fillId="0" fontId="38" numFmtId="0" xfId="0" applyAlignment="1" applyBorder="1" applyFont="1">
      <alignment readingOrder="0" shrinkToFit="0" vertical="center" wrapText="1"/>
    </xf>
    <xf borderId="24" fillId="0" fontId="55" numFmtId="0" xfId="0" applyAlignment="1" applyBorder="1" applyFont="1">
      <alignment readingOrder="0" shrinkToFit="0" vertical="center" wrapText="1"/>
    </xf>
    <xf borderId="24" fillId="0" fontId="22" numFmtId="0" xfId="0" applyBorder="1" applyFont="1"/>
    <xf borderId="25" fillId="0" fontId="22" numFmtId="0" xfId="0" applyBorder="1" applyFont="1"/>
    <xf borderId="25" fillId="0" fontId="43" numFmtId="0" xfId="0" applyAlignment="1" applyBorder="1" applyFont="1">
      <alignment readingOrder="0" shrinkToFit="0" vertical="center" wrapText="1"/>
    </xf>
    <xf borderId="24" fillId="0" fontId="43" numFmtId="0" xfId="0" applyAlignment="1" applyBorder="1" applyFont="1">
      <alignment readingOrder="0" shrinkToFit="0" vertical="center" wrapText="1"/>
    </xf>
    <xf borderId="26" fillId="0" fontId="56" numFmtId="0" xfId="0" applyAlignment="1" applyBorder="1" applyFont="1">
      <alignment horizontal="left" readingOrder="0" shrinkToFit="0" vertical="center" wrapText="1"/>
    </xf>
    <xf borderId="26" fillId="0" fontId="22" numFmtId="0" xfId="0" applyBorder="1" applyFont="1"/>
    <xf borderId="27" fillId="0" fontId="22" numFmtId="0" xfId="0" applyBorder="1" applyFont="1"/>
    <xf borderId="24" fillId="0" fontId="57" numFmtId="0" xfId="0" applyAlignment="1" applyBorder="1" applyFont="1">
      <alignment readingOrder="0" shrinkToFit="0" vertical="center" wrapText="1"/>
    </xf>
    <xf borderId="25" fillId="0" fontId="43" numFmtId="0" xfId="0" applyAlignment="1" applyBorder="1" applyFont="1">
      <alignment readingOrder="0" shrinkToFit="0" vertical="center" wrapText="1"/>
    </xf>
    <xf borderId="24" fillId="0" fontId="43" numFmtId="0" xfId="0" applyAlignment="1" applyBorder="1" applyFont="1">
      <alignment readingOrder="0" shrinkToFit="0" vertical="center" wrapText="1"/>
    </xf>
    <xf borderId="28" fillId="0" fontId="56" numFmtId="0" xfId="0" applyAlignment="1" applyBorder="1" applyFont="1">
      <alignment horizontal="left" readingOrder="0" shrinkToFit="0" vertical="center" wrapText="1"/>
    </xf>
    <xf borderId="28" fillId="0" fontId="22" numFmtId="0" xfId="0" applyBorder="1" applyFont="1"/>
    <xf borderId="29" fillId="0" fontId="22" numFmtId="0" xfId="0" applyBorder="1" applyFont="1"/>
    <xf borderId="29" fillId="0" fontId="56" numFmtId="0" xfId="0" applyAlignment="1" applyBorder="1" applyFont="1">
      <alignment horizontal="left" readingOrder="0" shrinkToFit="0" vertical="center" wrapText="1"/>
    </xf>
    <xf borderId="0" fillId="0" fontId="54" numFmtId="0" xfId="0" applyAlignment="1" applyFont="1">
      <alignment horizontal="left" readingOrder="0" shrinkToFit="0" vertical="center" wrapText="1"/>
    </xf>
    <xf borderId="0" fillId="0" fontId="54" numFmtId="0" xfId="0" applyAlignment="1" applyFont="1">
      <alignment horizontal="left" readingOrder="0" shrinkToFit="0" vertical="center" wrapText="1"/>
    </xf>
    <xf borderId="0" fillId="0" fontId="38" numFmtId="0" xfId="0" applyAlignment="1" applyFont="1">
      <alignment readingOrder="0" shrinkToFit="0" vertical="center" wrapText="1"/>
    </xf>
    <xf borderId="0" fillId="3" fontId="58" numFmtId="0" xfId="0" applyAlignment="1" applyFont="1">
      <alignment horizontal="left" readingOrder="0" shrinkToFit="0" vertical="center" wrapText="1"/>
    </xf>
    <xf borderId="0" fillId="6" fontId="46" numFmtId="0" xfId="0" applyAlignment="1" applyFill="1" applyFont="1">
      <alignment horizontal="center" readingOrder="0" shrinkToFit="0" vertical="center" wrapText="1"/>
    </xf>
    <xf borderId="0" fillId="6" fontId="59" numFmtId="0" xfId="0" applyAlignment="1" applyFont="1">
      <alignment horizontal="center" readingOrder="0" shrinkToFit="0" vertical="center" wrapText="1"/>
    </xf>
    <xf borderId="0" fillId="6" fontId="60" numFmtId="0" xfId="0" applyAlignment="1" applyFont="1">
      <alignment horizontal="center" readingOrder="0" vertical="center"/>
    </xf>
    <xf borderId="0" fillId="4" fontId="61" numFmtId="0" xfId="0" applyAlignment="1" applyFont="1">
      <alignment horizontal="center" readingOrder="0" shrinkToFit="0" vertical="center" wrapText="1"/>
    </xf>
    <xf borderId="0" fillId="6" fontId="62" numFmtId="0" xfId="0" applyAlignment="1" applyFont="1">
      <alignment horizontal="center" readingOrder="0" vertical="center"/>
    </xf>
    <xf borderId="0" fillId="0" fontId="63" numFmtId="0" xfId="0" applyAlignment="1" applyFont="1">
      <alignment horizontal="left" readingOrder="0" shrinkToFit="0" vertical="center" wrapText="1"/>
    </xf>
    <xf borderId="2" fillId="6" fontId="64" numFmtId="0" xfId="0" applyAlignment="1" applyBorder="1" applyFont="1">
      <alignment horizontal="center" readingOrder="0" vertical="center"/>
    </xf>
    <xf borderId="30" fillId="6" fontId="64" numFmtId="0" xfId="0" applyAlignment="1" applyBorder="1" applyFont="1">
      <alignment horizontal="center" readingOrder="0" vertical="center"/>
    </xf>
    <xf borderId="31" fillId="6" fontId="65" numFmtId="0" xfId="0" applyAlignment="1" applyBorder="1" applyFont="1">
      <alignment horizontal="center" readingOrder="0" vertical="center"/>
    </xf>
    <xf borderId="29" fillId="6" fontId="64" numFmtId="0" xfId="0" applyAlignment="1" applyBorder="1" applyFont="1">
      <alignment horizontal="center" readingOrder="0" vertical="center"/>
    </xf>
    <xf borderId="2" fillId="6" fontId="56" numFmtId="0" xfId="0" applyAlignment="1" applyBorder="1" applyFont="1">
      <alignment shrinkToFit="0" vertical="center" wrapText="1"/>
    </xf>
    <xf borderId="32" fillId="0" fontId="56" numFmtId="0" xfId="0" applyAlignment="1" applyBorder="1" applyFont="1">
      <alignment horizontal="center" shrinkToFit="0" vertical="center" wrapText="1"/>
    </xf>
    <xf borderId="32" fillId="0" fontId="66" numFmtId="0" xfId="0" applyAlignment="1" applyBorder="1" applyFont="1">
      <alignment horizontal="left" shrinkToFit="0" vertical="center" wrapText="1"/>
    </xf>
    <xf borderId="32" fillId="0" fontId="56" numFmtId="21" xfId="0" applyAlignment="1" applyBorder="1" applyFont="1" applyNumberFormat="1">
      <alignment horizontal="center" shrinkToFit="0" vertical="center" wrapText="1"/>
    </xf>
    <xf borderId="32" fillId="0" fontId="67" numFmtId="0" xfId="0" applyAlignment="1" applyBorder="1" applyFont="1">
      <alignment shrinkToFit="0" vertical="center" wrapText="1"/>
    </xf>
    <xf borderId="32" fillId="0" fontId="68" numFmtId="21" xfId="0" applyAlignment="1" applyBorder="1" applyFont="1" applyNumberFormat="1">
      <alignment horizontal="left" shrinkToFit="0" vertical="center" wrapText="1"/>
    </xf>
    <xf borderId="32" fillId="0" fontId="56" numFmtId="21" xfId="0" applyAlignment="1" applyBorder="1" applyFont="1" applyNumberFormat="1">
      <alignment horizontal="center" shrinkToFit="0" vertical="center" wrapText="1"/>
    </xf>
    <xf borderId="2" fillId="0" fontId="56" numFmtId="0" xfId="0" applyAlignment="1" applyBorder="1" applyFont="1">
      <alignment horizontal="center" shrinkToFit="0" vertical="center" wrapText="1"/>
    </xf>
    <xf borderId="2" fillId="0" fontId="69" numFmtId="0" xfId="0" applyAlignment="1" applyBorder="1" applyFont="1">
      <alignment horizontal="left" shrinkToFit="0" vertical="center" wrapText="1"/>
    </xf>
    <xf borderId="2" fillId="0" fontId="70" numFmtId="0" xfId="0" applyAlignment="1" applyBorder="1" applyFont="1">
      <alignment shrinkToFit="0" vertical="center" wrapText="1"/>
    </xf>
    <xf borderId="2" fillId="0" fontId="71" numFmtId="21" xfId="0" applyAlignment="1" applyBorder="1" applyFont="1" applyNumberFormat="1">
      <alignment horizontal="left" shrinkToFit="0" vertical="center" wrapText="1"/>
    </xf>
    <xf borderId="2" fillId="0" fontId="72" numFmtId="0" xfId="0" applyAlignment="1" applyBorder="1" applyFont="1">
      <alignment shrinkToFit="0" vertical="center" wrapText="1"/>
    </xf>
    <xf borderId="2" fillId="0" fontId="72" numFmtId="0" xfId="0" applyAlignment="1" applyBorder="1" applyFont="1">
      <alignment readingOrder="0" shrinkToFit="0" vertical="center" wrapText="1"/>
    </xf>
    <xf borderId="2" fillId="0" fontId="73" numFmtId="0" xfId="0" applyAlignment="1" applyBorder="1" applyFont="1">
      <alignment horizontal="left" shrinkToFit="0" vertical="center" wrapText="1"/>
    </xf>
    <xf borderId="0" fillId="6" fontId="56" numFmtId="0" xfId="0" applyAlignment="1" applyFont="1">
      <alignment shrinkToFit="0" vertical="center" wrapText="1"/>
    </xf>
    <xf borderId="0" fillId="0" fontId="56" numFmtId="0" xfId="0" applyAlignment="1" applyFont="1">
      <alignment horizontal="center" shrinkToFit="0" vertical="center" wrapText="1"/>
    </xf>
    <xf borderId="0" fillId="0" fontId="73" numFmtId="0" xfId="0" applyAlignment="1" applyFont="1">
      <alignment horizontal="left" shrinkToFit="0" vertical="center" wrapText="1"/>
    </xf>
    <xf borderId="0" fillId="0" fontId="72" numFmtId="0" xfId="0" applyAlignment="1" applyFont="1">
      <alignment shrinkToFit="0" vertical="center" wrapText="1"/>
    </xf>
    <xf borderId="2" fillId="0" fontId="74" numFmtId="0" xfId="0" applyAlignment="1" applyBorder="1" applyFont="1">
      <alignment readingOrder="0" shrinkToFit="0" vertical="center" wrapText="1"/>
    </xf>
    <xf borderId="2" fillId="0" fontId="73" numFmtId="21" xfId="0" applyAlignment="1" applyBorder="1" applyFont="1" applyNumberFormat="1">
      <alignment horizontal="left" shrinkToFit="0" vertical="center" wrapText="1"/>
    </xf>
    <xf borderId="0" fillId="6" fontId="62" numFmtId="0" xfId="0" applyAlignment="1" applyFont="1">
      <alignment horizontal="left" readingOrder="0" vertical="center"/>
    </xf>
    <xf borderId="0" fillId="0" fontId="75" numFmtId="0" xfId="0" applyAlignment="1" applyFont="1">
      <alignment horizontal="left" shrinkToFit="0" vertical="center" wrapText="1"/>
    </xf>
    <xf borderId="0" fillId="0" fontId="56" numFmtId="21" xfId="0" applyAlignment="1" applyFont="1" applyNumberFormat="1">
      <alignment horizontal="center" shrinkToFit="0" vertical="center" wrapText="1"/>
    </xf>
    <xf borderId="2" fillId="0" fontId="76" numFmtId="0" xfId="0" applyAlignment="1" applyBorder="1" applyFont="1">
      <alignment horizontal="left" readingOrder="0" shrinkToFit="0" vertical="center" wrapText="1"/>
    </xf>
    <xf borderId="2" fillId="0" fontId="56" numFmtId="21" xfId="0" applyAlignment="1" applyBorder="1" applyFont="1" applyNumberForma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20" Type="http://schemas.openxmlformats.org/officeDocument/2006/relationships/worksheet" Target="worksheets/sheet18.xml"/><Relationship Id="rId21" Type="http://schemas.openxmlformats.org/officeDocument/2006/relationships/worksheet" Target="worksheets/sheet19.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1.png"/><Relationship Id="rId5" Type="http://schemas.openxmlformats.org/officeDocument/2006/relationships/image" Target="../media/image4.png"/><Relationship Id="rId6" Type="http://schemas.openxmlformats.org/officeDocument/2006/relationships/image" Target="../media/image5.png"/></Relationships>
</file>

<file path=xl/drawings/_rels/drawing4.xml.rels><?xml version="1.0" encoding="UTF-8" standalone="yes"?><Relationships xmlns="http://schemas.openxmlformats.org/package/2006/relationships"><Relationship Id="rId20" Type="http://schemas.openxmlformats.org/officeDocument/2006/relationships/image" Target="../media/image22.png"/><Relationship Id="rId22" Type="http://schemas.openxmlformats.org/officeDocument/2006/relationships/image" Target="../media/image23.png"/><Relationship Id="rId21" Type="http://schemas.openxmlformats.org/officeDocument/2006/relationships/image" Target="../media/image29.png"/><Relationship Id="rId24" Type="http://schemas.openxmlformats.org/officeDocument/2006/relationships/image" Target="../media/image31.png"/><Relationship Id="rId23" Type="http://schemas.openxmlformats.org/officeDocument/2006/relationships/image" Target="../media/image30.png"/><Relationship Id="rId1" Type="http://schemas.openxmlformats.org/officeDocument/2006/relationships/image" Target="../media/image25.png"/><Relationship Id="rId2" Type="http://schemas.openxmlformats.org/officeDocument/2006/relationships/image" Target="../media/image10.png"/><Relationship Id="rId3" Type="http://schemas.openxmlformats.org/officeDocument/2006/relationships/image" Target="../media/image9.jpg"/><Relationship Id="rId4" Type="http://schemas.openxmlformats.org/officeDocument/2006/relationships/image" Target="../media/image17.png"/><Relationship Id="rId9" Type="http://schemas.openxmlformats.org/officeDocument/2006/relationships/image" Target="../media/image27.png"/><Relationship Id="rId26" Type="http://schemas.openxmlformats.org/officeDocument/2006/relationships/image" Target="../media/image33.png"/><Relationship Id="rId25" Type="http://schemas.openxmlformats.org/officeDocument/2006/relationships/image" Target="../media/image28.png"/><Relationship Id="rId28" Type="http://schemas.openxmlformats.org/officeDocument/2006/relationships/image" Target="../media/image34.png"/><Relationship Id="rId27" Type="http://schemas.openxmlformats.org/officeDocument/2006/relationships/image" Target="../media/image32.png"/><Relationship Id="rId5" Type="http://schemas.openxmlformats.org/officeDocument/2006/relationships/image" Target="../media/image13.png"/><Relationship Id="rId6" Type="http://schemas.openxmlformats.org/officeDocument/2006/relationships/image" Target="../media/image18.png"/><Relationship Id="rId29" Type="http://schemas.openxmlformats.org/officeDocument/2006/relationships/image" Target="../media/image36.png"/><Relationship Id="rId7" Type="http://schemas.openxmlformats.org/officeDocument/2006/relationships/image" Target="../media/image21.png"/><Relationship Id="rId8" Type="http://schemas.openxmlformats.org/officeDocument/2006/relationships/image" Target="../media/image16.png"/><Relationship Id="rId30" Type="http://schemas.openxmlformats.org/officeDocument/2006/relationships/image" Target="../media/image35.png"/><Relationship Id="rId11" Type="http://schemas.openxmlformats.org/officeDocument/2006/relationships/image" Target="../media/image12.png"/><Relationship Id="rId10" Type="http://schemas.openxmlformats.org/officeDocument/2006/relationships/image" Target="../media/image19.png"/><Relationship Id="rId13" Type="http://schemas.openxmlformats.org/officeDocument/2006/relationships/image" Target="../media/image26.png"/><Relationship Id="rId12" Type="http://schemas.openxmlformats.org/officeDocument/2006/relationships/image" Target="../media/image15.png"/><Relationship Id="rId15" Type="http://schemas.openxmlformats.org/officeDocument/2006/relationships/image" Target="../media/image11.png"/><Relationship Id="rId14" Type="http://schemas.openxmlformats.org/officeDocument/2006/relationships/image" Target="../media/image7.png"/><Relationship Id="rId17" Type="http://schemas.openxmlformats.org/officeDocument/2006/relationships/image" Target="../media/image24.png"/><Relationship Id="rId16" Type="http://schemas.openxmlformats.org/officeDocument/2006/relationships/image" Target="../media/image20.png"/><Relationship Id="rId19" Type="http://schemas.openxmlformats.org/officeDocument/2006/relationships/image" Target="../media/image14.png"/><Relationship Id="rId1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1</xdr:row>
      <xdr:rowOff>190500</xdr:rowOff>
    </xdr:from>
    <xdr:ext cx="1838325" cy="361950"/>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8</xdr:row>
      <xdr:rowOff>0</xdr:rowOff>
    </xdr:from>
    <xdr:ext cx="3295650" cy="11334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0</xdr:colOff>
      <xdr:row>8</xdr:row>
      <xdr:rowOff>0</xdr:rowOff>
    </xdr:from>
    <xdr:ext cx="2714625" cy="112395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0</xdr:colOff>
      <xdr:row>9</xdr:row>
      <xdr:rowOff>0</xdr:rowOff>
    </xdr:from>
    <xdr:ext cx="733425" cy="20002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0</xdr:colOff>
      <xdr:row>10</xdr:row>
      <xdr:rowOff>0</xdr:rowOff>
    </xdr:from>
    <xdr:ext cx="542925" cy="200025"/>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0</xdr:colOff>
      <xdr:row>11</xdr:row>
      <xdr:rowOff>0</xdr:rowOff>
    </xdr:from>
    <xdr:ext cx="3448050" cy="2466975"/>
    <xdr:pic>
      <xdr:nvPicPr>
        <xdr:cNvPr id="0" name="image5.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4</xdr:row>
      <xdr:rowOff>0</xdr:rowOff>
    </xdr:from>
    <xdr:ext cx="1352550" cy="762000"/>
    <xdr:pic>
      <xdr:nvPicPr>
        <xdr:cNvPr id="0" name="image25.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5</xdr:row>
      <xdr:rowOff>0</xdr:rowOff>
    </xdr:from>
    <xdr:ext cx="1352550" cy="771525"/>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0</xdr:colOff>
      <xdr:row>6</xdr:row>
      <xdr:rowOff>0</xdr:rowOff>
    </xdr:from>
    <xdr:ext cx="1352550" cy="762000"/>
    <xdr:pic>
      <xdr:nvPicPr>
        <xdr:cNvPr id="0" name="image9.jp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0</xdr:colOff>
      <xdr:row>7</xdr:row>
      <xdr:rowOff>0</xdr:rowOff>
    </xdr:from>
    <xdr:ext cx="1352550" cy="771525"/>
    <xdr:pic>
      <xdr:nvPicPr>
        <xdr:cNvPr id="0" name="image17.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0</xdr:colOff>
      <xdr:row>8</xdr:row>
      <xdr:rowOff>0</xdr:rowOff>
    </xdr:from>
    <xdr:ext cx="1352550" cy="762000"/>
    <xdr:pic>
      <xdr:nvPicPr>
        <xdr:cNvPr id="0" name="image13.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0</xdr:colOff>
      <xdr:row>9</xdr:row>
      <xdr:rowOff>0</xdr:rowOff>
    </xdr:from>
    <xdr:ext cx="1352550" cy="771525"/>
    <xdr:pic>
      <xdr:nvPicPr>
        <xdr:cNvPr id="0" name="image18.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0</xdr:colOff>
      <xdr:row>10</xdr:row>
      <xdr:rowOff>0</xdr:rowOff>
    </xdr:from>
    <xdr:ext cx="1352550" cy="762000"/>
    <xdr:pic>
      <xdr:nvPicPr>
        <xdr:cNvPr id="0" name="image21.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0</xdr:colOff>
      <xdr:row>11</xdr:row>
      <xdr:rowOff>0</xdr:rowOff>
    </xdr:from>
    <xdr:ext cx="1352550" cy="762000"/>
    <xdr:pic>
      <xdr:nvPicPr>
        <xdr:cNvPr id="0" name="image16.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0</xdr:colOff>
      <xdr:row>12</xdr:row>
      <xdr:rowOff>0</xdr:rowOff>
    </xdr:from>
    <xdr:ext cx="1352550" cy="771525"/>
    <xdr:pic>
      <xdr:nvPicPr>
        <xdr:cNvPr id="0" name="image27.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0</xdr:colOff>
      <xdr:row>13</xdr:row>
      <xdr:rowOff>0</xdr:rowOff>
    </xdr:from>
    <xdr:ext cx="1352550" cy="771525"/>
    <xdr:pic>
      <xdr:nvPicPr>
        <xdr:cNvPr id="0" name="image19.png"/>
        <xdr:cNvPicPr preferRelativeResize="0"/>
      </xdr:nvPicPr>
      <xdr:blipFill>
        <a:blip cstate="print" r:embed="rId10"/>
        <a:stretch>
          <a:fillRect/>
        </a:stretch>
      </xdr:blipFill>
      <xdr:spPr>
        <a:prstGeom prst="rect">
          <a:avLst/>
        </a:prstGeom>
        <a:noFill/>
      </xdr:spPr>
    </xdr:pic>
    <xdr:clientData fLocksWithSheet="0"/>
  </xdr:oneCellAnchor>
  <xdr:oneCellAnchor>
    <xdr:from>
      <xdr:col>1</xdr:col>
      <xdr:colOff>0</xdr:colOff>
      <xdr:row>14</xdr:row>
      <xdr:rowOff>0</xdr:rowOff>
    </xdr:from>
    <xdr:ext cx="1352550" cy="781050"/>
    <xdr:pic>
      <xdr:nvPicPr>
        <xdr:cNvPr id="0" name="image12.png"/>
        <xdr:cNvPicPr preferRelativeResize="0"/>
      </xdr:nvPicPr>
      <xdr:blipFill>
        <a:blip cstate="print" r:embed="rId11"/>
        <a:stretch>
          <a:fillRect/>
        </a:stretch>
      </xdr:blipFill>
      <xdr:spPr>
        <a:prstGeom prst="rect">
          <a:avLst/>
        </a:prstGeom>
        <a:noFill/>
      </xdr:spPr>
    </xdr:pic>
    <xdr:clientData fLocksWithSheet="0"/>
  </xdr:oneCellAnchor>
  <xdr:oneCellAnchor>
    <xdr:from>
      <xdr:col>1</xdr:col>
      <xdr:colOff>0</xdr:colOff>
      <xdr:row>15</xdr:row>
      <xdr:rowOff>0</xdr:rowOff>
    </xdr:from>
    <xdr:ext cx="1352550" cy="781050"/>
    <xdr:pic>
      <xdr:nvPicPr>
        <xdr:cNvPr id="0" name="image15.png"/>
        <xdr:cNvPicPr preferRelativeResize="0"/>
      </xdr:nvPicPr>
      <xdr:blipFill>
        <a:blip cstate="print" r:embed="rId12"/>
        <a:stretch>
          <a:fillRect/>
        </a:stretch>
      </xdr:blipFill>
      <xdr:spPr>
        <a:prstGeom prst="rect">
          <a:avLst/>
        </a:prstGeom>
        <a:noFill/>
      </xdr:spPr>
    </xdr:pic>
    <xdr:clientData fLocksWithSheet="0"/>
  </xdr:oneCellAnchor>
  <xdr:oneCellAnchor>
    <xdr:from>
      <xdr:col>1</xdr:col>
      <xdr:colOff>0</xdr:colOff>
      <xdr:row>16</xdr:row>
      <xdr:rowOff>0</xdr:rowOff>
    </xdr:from>
    <xdr:ext cx="1352550" cy="771525"/>
    <xdr:pic>
      <xdr:nvPicPr>
        <xdr:cNvPr id="0" name="image26.png"/>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0</xdr:colOff>
      <xdr:row>17</xdr:row>
      <xdr:rowOff>0</xdr:rowOff>
    </xdr:from>
    <xdr:ext cx="1352550" cy="752475"/>
    <xdr:pic>
      <xdr:nvPicPr>
        <xdr:cNvPr id="0" name="image7.png"/>
        <xdr:cNvPicPr preferRelativeResize="0"/>
      </xdr:nvPicPr>
      <xdr:blipFill>
        <a:blip cstate="print" r:embed="rId14"/>
        <a:stretch>
          <a:fillRect/>
        </a:stretch>
      </xdr:blipFill>
      <xdr:spPr>
        <a:prstGeom prst="rect">
          <a:avLst/>
        </a:prstGeom>
        <a:noFill/>
      </xdr:spPr>
    </xdr:pic>
    <xdr:clientData fLocksWithSheet="0"/>
  </xdr:oneCellAnchor>
  <xdr:oneCellAnchor>
    <xdr:from>
      <xdr:col>1</xdr:col>
      <xdr:colOff>0</xdr:colOff>
      <xdr:row>18</xdr:row>
      <xdr:rowOff>0</xdr:rowOff>
    </xdr:from>
    <xdr:ext cx="1352550" cy="771525"/>
    <xdr:pic>
      <xdr:nvPicPr>
        <xdr:cNvPr id="0" name="image11.png"/>
        <xdr:cNvPicPr preferRelativeResize="0"/>
      </xdr:nvPicPr>
      <xdr:blipFill>
        <a:blip cstate="print" r:embed="rId15"/>
        <a:stretch>
          <a:fillRect/>
        </a:stretch>
      </xdr:blipFill>
      <xdr:spPr>
        <a:prstGeom prst="rect">
          <a:avLst/>
        </a:prstGeom>
        <a:noFill/>
      </xdr:spPr>
    </xdr:pic>
    <xdr:clientData fLocksWithSheet="0"/>
  </xdr:oneCellAnchor>
  <xdr:oneCellAnchor>
    <xdr:from>
      <xdr:col>1</xdr:col>
      <xdr:colOff>0</xdr:colOff>
      <xdr:row>19</xdr:row>
      <xdr:rowOff>0</xdr:rowOff>
    </xdr:from>
    <xdr:ext cx="1352550" cy="781050"/>
    <xdr:pic>
      <xdr:nvPicPr>
        <xdr:cNvPr id="0" name="image20.png"/>
        <xdr:cNvPicPr preferRelativeResize="0"/>
      </xdr:nvPicPr>
      <xdr:blipFill>
        <a:blip cstate="print" r:embed="rId16"/>
        <a:stretch>
          <a:fillRect/>
        </a:stretch>
      </xdr:blipFill>
      <xdr:spPr>
        <a:prstGeom prst="rect">
          <a:avLst/>
        </a:prstGeom>
        <a:noFill/>
      </xdr:spPr>
    </xdr:pic>
    <xdr:clientData fLocksWithSheet="0"/>
  </xdr:oneCellAnchor>
  <xdr:oneCellAnchor>
    <xdr:from>
      <xdr:col>1</xdr:col>
      <xdr:colOff>0</xdr:colOff>
      <xdr:row>20</xdr:row>
      <xdr:rowOff>0</xdr:rowOff>
    </xdr:from>
    <xdr:ext cx="1352550" cy="762000"/>
    <xdr:pic>
      <xdr:nvPicPr>
        <xdr:cNvPr id="0" name="image24.png"/>
        <xdr:cNvPicPr preferRelativeResize="0"/>
      </xdr:nvPicPr>
      <xdr:blipFill>
        <a:blip cstate="print" r:embed="rId17"/>
        <a:stretch>
          <a:fillRect/>
        </a:stretch>
      </xdr:blipFill>
      <xdr:spPr>
        <a:prstGeom prst="rect">
          <a:avLst/>
        </a:prstGeom>
        <a:noFill/>
      </xdr:spPr>
    </xdr:pic>
    <xdr:clientData fLocksWithSheet="0"/>
  </xdr:oneCellAnchor>
  <xdr:oneCellAnchor>
    <xdr:from>
      <xdr:col>1</xdr:col>
      <xdr:colOff>0</xdr:colOff>
      <xdr:row>21</xdr:row>
      <xdr:rowOff>0</xdr:rowOff>
    </xdr:from>
    <xdr:ext cx="1352550" cy="752475"/>
    <xdr:pic>
      <xdr:nvPicPr>
        <xdr:cNvPr id="0" name="image8.png"/>
        <xdr:cNvPicPr preferRelativeResize="0"/>
      </xdr:nvPicPr>
      <xdr:blipFill>
        <a:blip cstate="print" r:embed="rId18"/>
        <a:stretch>
          <a:fillRect/>
        </a:stretch>
      </xdr:blipFill>
      <xdr:spPr>
        <a:prstGeom prst="rect">
          <a:avLst/>
        </a:prstGeom>
        <a:noFill/>
      </xdr:spPr>
    </xdr:pic>
    <xdr:clientData fLocksWithSheet="0"/>
  </xdr:oneCellAnchor>
  <xdr:oneCellAnchor>
    <xdr:from>
      <xdr:col>1</xdr:col>
      <xdr:colOff>0</xdr:colOff>
      <xdr:row>22</xdr:row>
      <xdr:rowOff>0</xdr:rowOff>
    </xdr:from>
    <xdr:ext cx="1352550" cy="781050"/>
    <xdr:pic>
      <xdr:nvPicPr>
        <xdr:cNvPr id="0" name="image14.png"/>
        <xdr:cNvPicPr preferRelativeResize="0"/>
      </xdr:nvPicPr>
      <xdr:blipFill>
        <a:blip cstate="print" r:embed="rId19"/>
        <a:stretch>
          <a:fillRect/>
        </a:stretch>
      </xdr:blipFill>
      <xdr:spPr>
        <a:prstGeom prst="rect">
          <a:avLst/>
        </a:prstGeom>
        <a:noFill/>
      </xdr:spPr>
    </xdr:pic>
    <xdr:clientData fLocksWithSheet="0"/>
  </xdr:oneCellAnchor>
  <xdr:oneCellAnchor>
    <xdr:from>
      <xdr:col>1</xdr:col>
      <xdr:colOff>0</xdr:colOff>
      <xdr:row>23</xdr:row>
      <xdr:rowOff>0</xdr:rowOff>
    </xdr:from>
    <xdr:ext cx="1352550" cy="762000"/>
    <xdr:pic>
      <xdr:nvPicPr>
        <xdr:cNvPr id="0" name="image22.png"/>
        <xdr:cNvPicPr preferRelativeResize="0"/>
      </xdr:nvPicPr>
      <xdr:blipFill>
        <a:blip cstate="print" r:embed="rId20"/>
        <a:stretch>
          <a:fillRect/>
        </a:stretch>
      </xdr:blipFill>
      <xdr:spPr>
        <a:prstGeom prst="rect">
          <a:avLst/>
        </a:prstGeom>
        <a:noFill/>
      </xdr:spPr>
    </xdr:pic>
    <xdr:clientData fLocksWithSheet="0"/>
  </xdr:oneCellAnchor>
  <xdr:oneCellAnchor>
    <xdr:from>
      <xdr:col>1</xdr:col>
      <xdr:colOff>0</xdr:colOff>
      <xdr:row>24</xdr:row>
      <xdr:rowOff>0</xdr:rowOff>
    </xdr:from>
    <xdr:ext cx="1352550" cy="771525"/>
    <xdr:pic>
      <xdr:nvPicPr>
        <xdr:cNvPr id="0" name="image29.png"/>
        <xdr:cNvPicPr preferRelativeResize="0"/>
      </xdr:nvPicPr>
      <xdr:blipFill>
        <a:blip cstate="print" r:embed="rId21"/>
        <a:stretch>
          <a:fillRect/>
        </a:stretch>
      </xdr:blipFill>
      <xdr:spPr>
        <a:prstGeom prst="rect">
          <a:avLst/>
        </a:prstGeom>
        <a:noFill/>
      </xdr:spPr>
    </xdr:pic>
    <xdr:clientData fLocksWithSheet="0"/>
  </xdr:oneCellAnchor>
  <xdr:oneCellAnchor>
    <xdr:from>
      <xdr:col>1</xdr:col>
      <xdr:colOff>0</xdr:colOff>
      <xdr:row>25</xdr:row>
      <xdr:rowOff>0</xdr:rowOff>
    </xdr:from>
    <xdr:ext cx="1352550" cy="771525"/>
    <xdr:pic>
      <xdr:nvPicPr>
        <xdr:cNvPr id="0" name="image23.png"/>
        <xdr:cNvPicPr preferRelativeResize="0"/>
      </xdr:nvPicPr>
      <xdr:blipFill>
        <a:blip cstate="print" r:embed="rId22"/>
        <a:stretch>
          <a:fillRect/>
        </a:stretch>
      </xdr:blipFill>
      <xdr:spPr>
        <a:prstGeom prst="rect">
          <a:avLst/>
        </a:prstGeom>
        <a:noFill/>
      </xdr:spPr>
    </xdr:pic>
    <xdr:clientData fLocksWithSheet="0"/>
  </xdr:oneCellAnchor>
  <xdr:oneCellAnchor>
    <xdr:from>
      <xdr:col>1</xdr:col>
      <xdr:colOff>0</xdr:colOff>
      <xdr:row>26</xdr:row>
      <xdr:rowOff>0</xdr:rowOff>
    </xdr:from>
    <xdr:ext cx="1352550" cy="771525"/>
    <xdr:pic>
      <xdr:nvPicPr>
        <xdr:cNvPr id="0" name="image30.png"/>
        <xdr:cNvPicPr preferRelativeResize="0"/>
      </xdr:nvPicPr>
      <xdr:blipFill>
        <a:blip cstate="print" r:embed="rId23"/>
        <a:stretch>
          <a:fillRect/>
        </a:stretch>
      </xdr:blipFill>
      <xdr:spPr>
        <a:prstGeom prst="rect">
          <a:avLst/>
        </a:prstGeom>
        <a:noFill/>
      </xdr:spPr>
    </xdr:pic>
    <xdr:clientData fLocksWithSheet="0"/>
  </xdr:oneCellAnchor>
  <xdr:oneCellAnchor>
    <xdr:from>
      <xdr:col>1</xdr:col>
      <xdr:colOff>0</xdr:colOff>
      <xdr:row>27</xdr:row>
      <xdr:rowOff>0</xdr:rowOff>
    </xdr:from>
    <xdr:ext cx="1352550" cy="762000"/>
    <xdr:pic>
      <xdr:nvPicPr>
        <xdr:cNvPr id="0" name="image31.png"/>
        <xdr:cNvPicPr preferRelativeResize="0"/>
      </xdr:nvPicPr>
      <xdr:blipFill>
        <a:blip cstate="print" r:embed="rId24"/>
        <a:stretch>
          <a:fillRect/>
        </a:stretch>
      </xdr:blipFill>
      <xdr:spPr>
        <a:prstGeom prst="rect">
          <a:avLst/>
        </a:prstGeom>
        <a:noFill/>
      </xdr:spPr>
    </xdr:pic>
    <xdr:clientData fLocksWithSheet="0"/>
  </xdr:oneCellAnchor>
  <xdr:oneCellAnchor>
    <xdr:from>
      <xdr:col>1</xdr:col>
      <xdr:colOff>0</xdr:colOff>
      <xdr:row>28</xdr:row>
      <xdr:rowOff>0</xdr:rowOff>
    </xdr:from>
    <xdr:ext cx="1352550" cy="771525"/>
    <xdr:pic>
      <xdr:nvPicPr>
        <xdr:cNvPr id="0" name="image28.png"/>
        <xdr:cNvPicPr preferRelativeResize="0"/>
      </xdr:nvPicPr>
      <xdr:blipFill>
        <a:blip cstate="print" r:embed="rId25"/>
        <a:stretch>
          <a:fillRect/>
        </a:stretch>
      </xdr:blipFill>
      <xdr:spPr>
        <a:prstGeom prst="rect">
          <a:avLst/>
        </a:prstGeom>
        <a:noFill/>
      </xdr:spPr>
    </xdr:pic>
    <xdr:clientData fLocksWithSheet="0"/>
  </xdr:oneCellAnchor>
  <xdr:oneCellAnchor>
    <xdr:from>
      <xdr:col>1</xdr:col>
      <xdr:colOff>0</xdr:colOff>
      <xdr:row>29</xdr:row>
      <xdr:rowOff>0</xdr:rowOff>
    </xdr:from>
    <xdr:ext cx="1352550" cy="771525"/>
    <xdr:pic>
      <xdr:nvPicPr>
        <xdr:cNvPr id="0" name="image33.png"/>
        <xdr:cNvPicPr preferRelativeResize="0"/>
      </xdr:nvPicPr>
      <xdr:blipFill>
        <a:blip cstate="print" r:embed="rId26"/>
        <a:stretch>
          <a:fillRect/>
        </a:stretch>
      </xdr:blipFill>
      <xdr:spPr>
        <a:prstGeom prst="rect">
          <a:avLst/>
        </a:prstGeom>
        <a:noFill/>
      </xdr:spPr>
    </xdr:pic>
    <xdr:clientData fLocksWithSheet="0"/>
  </xdr:oneCellAnchor>
  <xdr:oneCellAnchor>
    <xdr:from>
      <xdr:col>1</xdr:col>
      <xdr:colOff>0</xdr:colOff>
      <xdr:row>30</xdr:row>
      <xdr:rowOff>0</xdr:rowOff>
    </xdr:from>
    <xdr:ext cx="1352550" cy="781050"/>
    <xdr:pic>
      <xdr:nvPicPr>
        <xdr:cNvPr id="0" name="image32.png"/>
        <xdr:cNvPicPr preferRelativeResize="0"/>
      </xdr:nvPicPr>
      <xdr:blipFill>
        <a:blip cstate="print" r:embed="rId27"/>
        <a:stretch>
          <a:fillRect/>
        </a:stretch>
      </xdr:blipFill>
      <xdr:spPr>
        <a:prstGeom prst="rect">
          <a:avLst/>
        </a:prstGeom>
        <a:noFill/>
      </xdr:spPr>
    </xdr:pic>
    <xdr:clientData fLocksWithSheet="0"/>
  </xdr:oneCellAnchor>
  <xdr:oneCellAnchor>
    <xdr:from>
      <xdr:col>1</xdr:col>
      <xdr:colOff>0</xdr:colOff>
      <xdr:row>31</xdr:row>
      <xdr:rowOff>0</xdr:rowOff>
    </xdr:from>
    <xdr:ext cx="1352550" cy="781050"/>
    <xdr:pic>
      <xdr:nvPicPr>
        <xdr:cNvPr id="0" name="image34.png"/>
        <xdr:cNvPicPr preferRelativeResize="0"/>
      </xdr:nvPicPr>
      <xdr:blipFill>
        <a:blip cstate="print" r:embed="rId28"/>
        <a:stretch>
          <a:fillRect/>
        </a:stretch>
      </xdr:blipFill>
      <xdr:spPr>
        <a:prstGeom prst="rect">
          <a:avLst/>
        </a:prstGeom>
        <a:noFill/>
      </xdr:spPr>
    </xdr:pic>
    <xdr:clientData fLocksWithSheet="0"/>
  </xdr:oneCellAnchor>
  <xdr:oneCellAnchor>
    <xdr:from>
      <xdr:col>1</xdr:col>
      <xdr:colOff>0</xdr:colOff>
      <xdr:row>32</xdr:row>
      <xdr:rowOff>0</xdr:rowOff>
    </xdr:from>
    <xdr:ext cx="1352550" cy="762000"/>
    <xdr:pic>
      <xdr:nvPicPr>
        <xdr:cNvPr id="0" name="image36.png"/>
        <xdr:cNvPicPr preferRelativeResize="0"/>
      </xdr:nvPicPr>
      <xdr:blipFill>
        <a:blip cstate="print" r:embed="rId29"/>
        <a:stretch>
          <a:fillRect/>
        </a:stretch>
      </xdr:blipFill>
      <xdr:spPr>
        <a:prstGeom prst="rect">
          <a:avLst/>
        </a:prstGeom>
        <a:noFill/>
      </xdr:spPr>
    </xdr:pic>
    <xdr:clientData fLocksWithSheet="0"/>
  </xdr:oneCellAnchor>
  <xdr:oneCellAnchor>
    <xdr:from>
      <xdr:col>1</xdr:col>
      <xdr:colOff>0</xdr:colOff>
      <xdr:row>33</xdr:row>
      <xdr:rowOff>0</xdr:rowOff>
    </xdr:from>
    <xdr:ext cx="1352550" cy="752475"/>
    <xdr:pic>
      <xdr:nvPicPr>
        <xdr:cNvPr id="0" name="image35.png"/>
        <xdr:cNvPicPr preferRelativeResize="0"/>
      </xdr:nvPicPr>
      <xdr:blipFill>
        <a:blip cstate="print" r:embed="rId30"/>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392" Type="http://schemas.openxmlformats.org/officeDocument/2006/relationships/hyperlink" Target="https://www.linkedin.com/learning/advanced-business-development-communication-and-negotiation?trk=ondemandfile" TargetMode="External"/><Relationship Id="rId391" Type="http://schemas.openxmlformats.org/officeDocument/2006/relationships/hyperlink" Target="https://www.linkedin.com/learning/building-your-visibility-as-a-leader?trk=ondemandfile" TargetMode="External"/><Relationship Id="rId390" Type="http://schemas.openxmlformats.org/officeDocument/2006/relationships/hyperlink" Target="https://www.linkedin.com/learning/successful-networking?trk=ondemandfile" TargetMode="External"/><Relationship Id="rId1" Type="http://schemas.openxmlformats.org/officeDocument/2006/relationships/hyperlink" Target="https://www.linkedin.com/learning/good-to-great?trk=ondemandfile" TargetMode="External"/><Relationship Id="rId2" Type="http://schemas.openxmlformats.org/officeDocument/2006/relationships/hyperlink" Target="https://www.linkedin.com/learning/paths/building-accountability-and-becoming-results-oriented?trk=ondemandfile" TargetMode="External"/><Relationship Id="rId3" Type="http://schemas.openxmlformats.org/officeDocument/2006/relationships/hyperlink" Target="https://www.linkedin.com/learning/prioritizing-effectively-as-a-leader?trk=ondemandfile" TargetMode="External"/><Relationship Id="rId4" Type="http://schemas.openxmlformats.org/officeDocument/2006/relationships/hyperlink" Target="https://www.linkedin.com/learning/paths/become-a-high-performer-2?trk=ondemandfile" TargetMode="External"/><Relationship Id="rId2180" Type="http://schemas.openxmlformats.org/officeDocument/2006/relationships/hyperlink" Target="https://www.linkedin.com/learning/paths/diversity-inclusion-and-belonging-for-leaders-and-managers?trk=ondemandfile" TargetMode="External"/><Relationship Id="rId2181" Type="http://schemas.openxmlformats.org/officeDocument/2006/relationships/hyperlink" Target="https://www.linkedin.com/learning/communicating-values?trk=ondemandfile" TargetMode="External"/><Relationship Id="rId2182" Type="http://schemas.openxmlformats.org/officeDocument/2006/relationships/hyperlink" Target="https://www.linkedin.com/learning/paths/how-to-engage-meaningfully-in-allyship-and-anti-racism?trk=ondemandfile" TargetMode="External"/><Relationship Id="rId2183" Type="http://schemas.openxmlformats.org/officeDocument/2006/relationships/hyperlink" Target="https://www.linkedin.com/learning/managing-multiple-generations-2?trk=ondemandfile" TargetMode="External"/><Relationship Id="rId9" Type="http://schemas.openxmlformats.org/officeDocument/2006/relationships/hyperlink" Target="https://www.linkedin.com/learning/learning-agility?trk=ondemandfile" TargetMode="External"/><Relationship Id="rId385" Type="http://schemas.openxmlformats.org/officeDocument/2006/relationships/hyperlink" Target="https://www.linkedin.com/learning/building-business-relationships-2?trk=ondemandfile" TargetMode="External"/><Relationship Id="rId2184" Type="http://schemas.openxmlformats.org/officeDocument/2006/relationships/hyperlink" Target="https://www.linkedin.com/learning/paths/improve-your-coaching-skills-as-a-manager?trk=ondemandfile" TargetMode="External"/><Relationship Id="rId384" Type="http://schemas.openxmlformats.org/officeDocument/2006/relationships/hyperlink" Target="https://www.linkedin.com/learning/present-a-techie-s-guide-to-public-speaking?trk=ondemandfile" TargetMode="External"/><Relationship Id="rId2185" Type="http://schemas.openxmlformats.org/officeDocument/2006/relationships/hyperlink" Target="https://www.linkedin.com/learning/collaborative-leadership?trk=ondemandfile" TargetMode="External"/><Relationship Id="rId383" Type="http://schemas.openxmlformats.org/officeDocument/2006/relationships/hyperlink" Target="https://www.linkedin.com/learning/communicating-with-transparency?trk=ondemandfile" TargetMode="External"/><Relationship Id="rId2186" Type="http://schemas.openxmlformats.org/officeDocument/2006/relationships/hyperlink" Target="https://www.linkedin.com/learning/paths/stay-ahead-in-all-things-dibs?trk=ondemandfile" TargetMode="External"/><Relationship Id="rId382" Type="http://schemas.openxmlformats.org/officeDocument/2006/relationships/hyperlink" Target="https://www.linkedin.com/learning/negotiation-foundations?trk=ondemandfile" TargetMode="External"/><Relationship Id="rId2187" Type="http://schemas.openxmlformats.org/officeDocument/2006/relationships/hyperlink" Target="https://www.linkedin.com/learning/developing-a-diversity-inclusion-and-belonging-program?trk=ondemandfile" TargetMode="External"/><Relationship Id="rId5" Type="http://schemas.openxmlformats.org/officeDocument/2006/relationships/hyperlink" Target="https://www.linkedin.com/learning/communicating-to-drive-people-to-take-action?trk=ondemandfile" TargetMode="External"/><Relationship Id="rId389" Type="http://schemas.openxmlformats.org/officeDocument/2006/relationships/hyperlink" Target="https://www.linkedin.com/learning/leading-with-kindness-and-strength?trk=ondemandfile" TargetMode="External"/><Relationship Id="rId2188" Type="http://schemas.openxmlformats.org/officeDocument/2006/relationships/hyperlink" Target="https://www.linkedin.com/learning/paths/transition-from-military-to-civilian-employment?trk=ondemandfile" TargetMode="External"/><Relationship Id="rId6" Type="http://schemas.openxmlformats.org/officeDocument/2006/relationships/hyperlink" Target="https://www.linkedin.com/learning/paths/become-a-successful-remote-worker?trk=ondemandfile" TargetMode="External"/><Relationship Id="rId388" Type="http://schemas.openxmlformats.org/officeDocument/2006/relationships/hyperlink" Target="https://www.linkedin.com/learning/preparing-for-successful-communication?trk=ondemandfile" TargetMode="External"/><Relationship Id="rId2189" Type="http://schemas.openxmlformats.org/officeDocument/2006/relationships/hyperlink" Target="https://www.linkedin.com/learning/accessibility-for-the-workplace?trk=ondemandfile" TargetMode="External"/><Relationship Id="rId7" Type="http://schemas.openxmlformats.org/officeDocument/2006/relationships/hyperlink" Target="https://www.linkedin.com/learning/goal-setting-objectives-and-key-results-okrs?trk=ondemandfile" TargetMode="External"/><Relationship Id="rId387" Type="http://schemas.openxmlformats.org/officeDocument/2006/relationships/hyperlink" Target="https://www.linkedin.com/learning/improving-your-listening-skills?trk=ondemandfile" TargetMode="External"/><Relationship Id="rId8" Type="http://schemas.openxmlformats.org/officeDocument/2006/relationships/hyperlink" Target="https://www.linkedin.com/learning/paths/improve-your-organizational-skills?trk=ondemandfile" TargetMode="External"/><Relationship Id="rId386" Type="http://schemas.openxmlformats.org/officeDocument/2006/relationships/hyperlink" Target="https://www.linkedin.com/learning/building-trust-2018?trk=ondemandfile" TargetMode="External"/><Relationship Id="rId381" Type="http://schemas.openxmlformats.org/officeDocument/2006/relationships/hyperlink" Target="https://www.linkedin.com/learning/asking-for-and-getting-what-you-want?trk=ondemandfile" TargetMode="External"/><Relationship Id="rId380" Type="http://schemas.openxmlformats.org/officeDocument/2006/relationships/hyperlink" Target="https://www.linkedin.com/learning/communicating-through-disagreement-2022?trk=ondemandfile" TargetMode="External"/><Relationship Id="rId379" Type="http://schemas.openxmlformats.org/officeDocument/2006/relationships/hyperlink" Target="https://www.linkedin.com/learning/telling-stories-that-stick?trk=ondemandfile" TargetMode="External"/><Relationship Id="rId2170" Type="http://schemas.openxmlformats.org/officeDocument/2006/relationships/hyperlink" Target="https://www.linkedin.com/learning/rolling-out-a-dibs-training-program-in-your-company?trk=ondemandfile" TargetMode="External"/><Relationship Id="rId2171" Type="http://schemas.openxmlformats.org/officeDocument/2006/relationships/hyperlink" Target="https://www.linkedin.com/learning/global-strategy?trk=ondemandfile" TargetMode="External"/><Relationship Id="rId2172" Type="http://schemas.openxmlformats.org/officeDocument/2006/relationships/hyperlink" Target="https://www.linkedin.com/learning/paths/become-an-inclusive-leader?trk=ondemandfile" TargetMode="External"/><Relationship Id="rId374" Type="http://schemas.openxmlformats.org/officeDocument/2006/relationships/hyperlink" Target="https://www.linkedin.com/learning/how-to-listen-and-how-to-be-heard-getabstract-summary?trk=ondemandfile" TargetMode="External"/><Relationship Id="rId2173" Type="http://schemas.openxmlformats.org/officeDocument/2006/relationships/hyperlink" Target="https://www.linkedin.com/learning/leading-globally?trk=ondemandfile" TargetMode="External"/><Relationship Id="rId373" Type="http://schemas.openxmlformats.org/officeDocument/2006/relationships/hyperlink" Target="https://www.linkedin.com/learning/how-to-persuade-when-facts-don-t-seem-to-matter?trk=ondemandfile" TargetMode="External"/><Relationship Id="rId2174" Type="http://schemas.openxmlformats.org/officeDocument/2006/relationships/hyperlink" Target="https://www.linkedin.com/learning/paths/become-a-thought-leader?trk=ondemandfile" TargetMode="External"/><Relationship Id="rId372" Type="http://schemas.openxmlformats.org/officeDocument/2006/relationships/hyperlink" Target="https://www.linkedin.com/learning/articulating-your-value?trk=ondemandfile" TargetMode="External"/><Relationship Id="rId2175" Type="http://schemas.openxmlformats.org/officeDocument/2006/relationships/hyperlink" Target="https://www.linkedin.com/learning/managing-globally?trk=ondemandfile" TargetMode="External"/><Relationship Id="rId371" Type="http://schemas.openxmlformats.org/officeDocument/2006/relationships/hyperlink" Target="https://www.linkedin.com/learning/influence-without-authority-getabstract-summary?trk=ondemandfile" TargetMode="External"/><Relationship Id="rId2176" Type="http://schemas.openxmlformats.org/officeDocument/2006/relationships/hyperlink" Target="https://www.linkedin.com/learning/paths/build-a-more-equitable-and-inclusive-workplace?trk=ondemandfile" TargetMode="External"/><Relationship Id="rId378" Type="http://schemas.openxmlformats.org/officeDocument/2006/relationships/hyperlink" Target="https://www.linkedin.com/learning/building-inclusive-work-communities?trk=ondemandfile" TargetMode="External"/><Relationship Id="rId2177" Type="http://schemas.openxmlformats.org/officeDocument/2006/relationships/hyperlink" Target="https://www.linkedin.com/learning/inclusive-leadership?trk=ondemandfile" TargetMode="External"/><Relationship Id="rId377" Type="http://schemas.openxmlformats.org/officeDocument/2006/relationships/hyperlink" Target="https://www.linkedin.com/learning/talking-boldly-when-inclusion-meets-politics-at-the-office?trk=ondemandfile" TargetMode="External"/><Relationship Id="rId2178" Type="http://schemas.openxmlformats.org/officeDocument/2006/relationships/hyperlink" Target="https://www.linkedin.com/learning/paths/diversity-inclusion-and-belonging-for-all?trk=ondemandfile" TargetMode="External"/><Relationship Id="rId376" Type="http://schemas.openxmlformats.org/officeDocument/2006/relationships/hyperlink" Target="https://www.linkedin.com/learning/becoming-a-great-conversationalist?trk=ondemandfile" TargetMode="External"/><Relationship Id="rId2179" Type="http://schemas.openxmlformats.org/officeDocument/2006/relationships/hyperlink" Target="https://www.linkedin.com/learning/how-to-be-an-inclusive-leader-getabstract-summary?trk=ondemandfile" TargetMode="External"/><Relationship Id="rId375" Type="http://schemas.openxmlformats.org/officeDocument/2006/relationships/hyperlink" Target="https://www.linkedin.com/learning/how-to-speak-so-people-want-to-listen?trk=ondemandfile" TargetMode="External"/><Relationship Id="rId2190" Type="http://schemas.openxmlformats.org/officeDocument/2006/relationships/hyperlink" Target="https://www.linkedin.com/learning/paths/transition-from-military-to-student-life?trk=ondemandfile?" TargetMode="External"/><Relationship Id="rId2191" Type="http://schemas.openxmlformats.org/officeDocument/2006/relationships/hyperlink" Target="https://www.linkedin.com/learning/be-an-inclusive-organization-people-won-t-leave?trk=ondemandfile" TargetMode="External"/><Relationship Id="rId2192" Type="http://schemas.openxmlformats.org/officeDocument/2006/relationships/hyperlink" Target="https://www.linkedin.com/learning/paths/women-in-leadership-3?trk=ondemandfile" TargetMode="External"/><Relationship Id="rId2193" Type="http://schemas.openxmlformats.org/officeDocument/2006/relationships/hyperlink" Target="https://www.linkedin.com/learning/leading-your-org-on-a-journey-of-allyship?trk=ondemandfile" TargetMode="External"/><Relationship Id="rId2194" Type="http://schemas.openxmlformats.org/officeDocument/2006/relationships/hyperlink" Target="https://www.linkedin.com/learning/paths/women-transforming-tech-navigating-your-career?trk=ondemandfile" TargetMode="External"/><Relationship Id="rId396" Type="http://schemas.openxmlformats.org/officeDocument/2006/relationships/hyperlink" Target="https://www.linkedin.com/learning/how-to-manage-office-politics?trk=ondemandfile" TargetMode="External"/><Relationship Id="rId2195" Type="http://schemas.openxmlformats.org/officeDocument/2006/relationships/hyperlink" Target="https://www.linkedin.com/learning/managing-someone-older-than-you?trk=ondemandfile" TargetMode="External"/><Relationship Id="rId395" Type="http://schemas.openxmlformats.org/officeDocument/2006/relationships/hyperlink" Target="https://www.linkedin.com/learning/how-to-talk-to-anyone-blinkist-summary?trk=ondemandfile" TargetMode="External"/><Relationship Id="rId2196" Type="http://schemas.openxmlformats.org/officeDocument/2006/relationships/hyperlink" Target="https://www.linkedin.com/learning/supporting-workers-with-disabilities?trk=ondemandfile" TargetMode="External"/><Relationship Id="rId394" Type="http://schemas.openxmlformats.org/officeDocument/2006/relationships/hyperlink" Target="https://www.linkedin.com/learning/we-need-to-talk-blinkist-summary?trk=ondemandfile" TargetMode="External"/><Relationship Id="rId2197" Type="http://schemas.openxmlformats.org/officeDocument/2006/relationships/hyperlink" Target="https://www.linkedin.com/learning/inclusive-tech-the-case-for-inclusive-leadership?trk=ondemandfile" TargetMode="External"/><Relationship Id="rId393" Type="http://schemas.openxmlformats.org/officeDocument/2006/relationships/hyperlink" Target="https://www.linkedin.com/learning/use-your-strengths-for-impact-and-influence-at-work?trk=ondemandfile" TargetMode="External"/><Relationship Id="rId2198" Type="http://schemas.openxmlformats.org/officeDocument/2006/relationships/hyperlink" Target="https://www.linkedin.com/learning/understanding-and-supporting-adhd-colleagues-in-the-workplace?trk=ondemandfile" TargetMode="External"/><Relationship Id="rId2199" Type="http://schemas.openxmlformats.org/officeDocument/2006/relationships/hyperlink" Target="https://www.linkedin.com/learning/achieving-diversity-as-a-hiring-manager?trk=ondemandfile" TargetMode="External"/><Relationship Id="rId399" Type="http://schemas.openxmlformats.org/officeDocument/2006/relationships/hyperlink" Target="https://www.linkedin.com/learning/asserting-yourself-an-empowered-choice?trk=ondemandfile" TargetMode="External"/><Relationship Id="rId398" Type="http://schemas.openxmlformats.org/officeDocument/2006/relationships/hyperlink" Target="https://www.linkedin.com/learning/starting-a-memorable-conversation?trk=ondemandfile" TargetMode="External"/><Relationship Id="rId397" Type="http://schemas.openxmlformats.org/officeDocument/2006/relationships/hyperlink" Target="https://www.linkedin.com/learning/communicating-with-confidence?trk=ondemandfile" TargetMode="External"/><Relationship Id="rId1730" Type="http://schemas.openxmlformats.org/officeDocument/2006/relationships/hyperlink" Target="https://www.linkedin.com/learning/how-to-create-and-run-a-brilliant-remote-workshop?trk=ondemandfile" TargetMode="External"/><Relationship Id="rId1731" Type="http://schemas.openxmlformats.org/officeDocument/2006/relationships/hyperlink" Target="https://www.linkedin.com/learning/communicating-with-confidence?trk=ondemandfile" TargetMode="External"/><Relationship Id="rId1732" Type="http://schemas.openxmlformats.org/officeDocument/2006/relationships/hyperlink" Target="https://www.linkedin.com/learning/17-pr-mistakes-to-avoid?trk=ondemandfile" TargetMode="External"/><Relationship Id="rId1733" Type="http://schemas.openxmlformats.org/officeDocument/2006/relationships/hyperlink" Target="https://www.linkedin.com/learning/finding-your-idea-hook?trk=ondemandfile" TargetMode="External"/><Relationship Id="rId1734" Type="http://schemas.openxmlformats.org/officeDocument/2006/relationships/hyperlink" Target="https://www.linkedin.com/learning/presenting-to-senior-executives?trk=ondemandfile" TargetMode="External"/><Relationship Id="rId1735" Type="http://schemas.openxmlformats.org/officeDocument/2006/relationships/hyperlink" Target="https://www.linkedin.com/learning/how-to-own-a-room?trk=ondemandfile" TargetMode="External"/><Relationship Id="rId1736" Type="http://schemas.openxmlformats.org/officeDocument/2006/relationships/hyperlink" Target="https://www.linkedin.com/learning/master-confident-presentations?trk=ondemandfile" TargetMode="External"/><Relationship Id="rId1737" Type="http://schemas.openxmlformats.org/officeDocument/2006/relationships/hyperlink" Target="https://www.linkedin.com/learning/shane-snow-on-storytelling?trk=ondemandfile" TargetMode="External"/><Relationship Id="rId1738" Type="http://schemas.openxmlformats.org/officeDocument/2006/relationships/hyperlink" Target="https://www.linkedin.com/learning/delivery-tips-for-speaking-in-public?trk=ondemandfile" TargetMode="External"/><Relationship Id="rId1739" Type="http://schemas.openxmlformats.org/officeDocument/2006/relationships/hyperlink" Target="https://www.linkedin.com/learning/presentation-tips-weekly?trk=ondemandfile" TargetMode="External"/><Relationship Id="rId1720" Type="http://schemas.openxmlformats.org/officeDocument/2006/relationships/hyperlink" Target="https://www.linkedin.com/learning/impromptu-speaking?trk=ondemandfile" TargetMode="External"/><Relationship Id="rId1721" Type="http://schemas.openxmlformats.org/officeDocument/2006/relationships/hyperlink" Target="https://www.linkedin.com/learning/powerpoint-8-easy-ways-to-make-your-presentations-look-better?trk=ondemandfile" TargetMode="External"/><Relationship Id="rId1722" Type="http://schemas.openxmlformats.org/officeDocument/2006/relationships/hyperlink" Target="https://www.linkedin.com/learning/data-driven-presentations-with-excel-and-powerpoint-365-2019?trk=ondemandfile" TargetMode="External"/><Relationship Id="rId1723" Type="http://schemas.openxmlformats.org/officeDocument/2006/relationships/hyperlink" Target="https://www.linkedin.com/learning/creating-and-giving-business-presentations?trk=ondemandfile" TargetMode="External"/><Relationship Id="rId1724" Type="http://schemas.openxmlformats.org/officeDocument/2006/relationships/hyperlink" Target="https://www.linkedin.com/learning/making-great-sales-presentations?trk=ondemandfile" TargetMode="External"/><Relationship Id="rId1725" Type="http://schemas.openxmlformats.org/officeDocument/2006/relationships/hyperlink" Target="https://www.linkedin.com/learning/meeting-facilitation?trk=ondemandfile" TargetMode="External"/><Relationship Id="rId1726" Type="http://schemas.openxmlformats.org/officeDocument/2006/relationships/hyperlink" Target="https://www.linkedin.com/learning/preparing-for-successful-communication?trk=ondemandfile" TargetMode="External"/><Relationship Id="rId1727" Type="http://schemas.openxmlformats.org/officeDocument/2006/relationships/hyperlink" Target="https://www.linkedin.com/learning/visual-storytelling-in-powerpoint?trk=ondemandfile" TargetMode="External"/><Relationship Id="rId1728" Type="http://schemas.openxmlformats.org/officeDocument/2006/relationships/hyperlink" Target="https://www.linkedin.com/learning/managing-your-anxiety-while-presenting?trk=ondemandfile" TargetMode="External"/><Relationship Id="rId1729" Type="http://schemas.openxmlformats.org/officeDocument/2006/relationships/hyperlink" Target="https://www.linkedin.com/learning/connecting-with-your-audience-using-video?trk=ondemandfile" TargetMode="External"/><Relationship Id="rId1752" Type="http://schemas.openxmlformats.org/officeDocument/2006/relationships/hyperlink" Target="https://www.linkedin.com/learning/paths/become-a-portfolio-manager?trk=ondemandfile" TargetMode="External"/><Relationship Id="rId1753" Type="http://schemas.openxmlformats.org/officeDocument/2006/relationships/hyperlink" Target="https://www.linkedin.com/learning/mistakes-to-avoid-in-agile-project-management?trk=ondemandfile" TargetMode="External"/><Relationship Id="rId1754" Type="http://schemas.openxmlformats.org/officeDocument/2006/relationships/hyperlink" Target="https://www.linkedin.com/learning/paths/become-an-outsourcing-specialist?trk=ondemandfile" TargetMode="External"/><Relationship Id="rId1755" Type="http://schemas.openxmlformats.org/officeDocument/2006/relationships/hyperlink" Target="https://www.linkedin.com/learning/managing-in-a-matrixed-organization?trk=ondemandfile" TargetMode="External"/><Relationship Id="rId1756" Type="http://schemas.openxmlformats.org/officeDocument/2006/relationships/hyperlink" Target="https://www.linkedin.com/learning/paths/become-a-product-manager-2?trk=ondemandfile" TargetMode="External"/><Relationship Id="rId1757" Type="http://schemas.openxmlformats.org/officeDocument/2006/relationships/hyperlink" Target="https://www.linkedin.com/learning/agile-project-leadership?trk=ondemandfile" TargetMode="External"/><Relationship Id="rId1758" Type="http://schemas.openxmlformats.org/officeDocument/2006/relationships/hyperlink" Target="https://www.linkedin.com/learning/paths/become-a-program-manager?trk=ondemandfile" TargetMode="External"/><Relationship Id="rId1759" Type="http://schemas.openxmlformats.org/officeDocument/2006/relationships/hyperlink" Target="https://www.linkedin.com/learning/managing-and-working-with-a-technical-team-for-nontechnical-professionals?trk=ondemandfile" TargetMode="External"/><Relationship Id="rId808" Type="http://schemas.openxmlformats.org/officeDocument/2006/relationships/hyperlink" Target="https://www.linkedin.com/learning/paths/become-a-business-analytics-expert?trk=ondemandfile" TargetMode="External"/><Relationship Id="rId807" Type="http://schemas.openxmlformats.org/officeDocument/2006/relationships/hyperlink" Target="https://www.linkedin.com/learning/measuring-business-performance-2021?trk=ondemandfile" TargetMode="External"/><Relationship Id="rId806" Type="http://schemas.openxmlformats.org/officeDocument/2006/relationships/hyperlink" Target="https://www.linkedin.com/learning/paths/become-a-business-analyst?trk=ondemandfile" TargetMode="External"/><Relationship Id="rId805" Type="http://schemas.openxmlformats.org/officeDocument/2006/relationships/hyperlink" Target="https://www.linkedin.com/learning/leading-teams-working-with-data-pitfalls-and-best-practices?trk=ondemandfile" TargetMode="External"/><Relationship Id="rId809" Type="http://schemas.openxmlformats.org/officeDocument/2006/relationships/hyperlink" Target="https://www.linkedin.com/learning/learning-data-governance-14224082?trk=ondemandfile" TargetMode="External"/><Relationship Id="rId800" Type="http://schemas.openxmlformats.org/officeDocument/2006/relationships/hyperlink" Target="https://www.linkedin.com/learning/customer-service-knowledge-management?trk=ondemandfile" TargetMode="External"/><Relationship Id="rId804" Type="http://schemas.openxmlformats.org/officeDocument/2006/relationships/hyperlink" Target="https://www.linkedin.com/learning/paths/advance-your-skills-in-predictive-analytics?trk=ondemandfile" TargetMode="External"/><Relationship Id="rId803" Type="http://schemas.openxmlformats.org/officeDocument/2006/relationships/hyperlink" Target="https://www.linkedin.com/learning/cmo-foundations-measuring-marketing-effectiveness-roi?trk=ondemandfile" TargetMode="External"/><Relationship Id="rId802" Type="http://schemas.openxmlformats.org/officeDocument/2006/relationships/hyperlink" Target="https://www.linkedin.com/learning/paths/advance-your-data-science-skills-in-health-sciences?trk=ondemandfile" TargetMode="External"/><Relationship Id="rId801" Type="http://schemas.openxmlformats.org/officeDocument/2006/relationships/hyperlink" Target="https://www.linkedin.com/learning/data-strategy?trk=contentmappingfile" TargetMode="External"/><Relationship Id="rId1750" Type="http://schemas.openxmlformats.org/officeDocument/2006/relationships/hyperlink" Target="https://www.linkedin.com/learning/paths/become-a-healthcare-project-manager?trk=ondemandfile" TargetMode="External"/><Relationship Id="rId1751" Type="http://schemas.openxmlformats.org/officeDocument/2006/relationships/hyperlink" Target="https://www.linkedin.com/learning/leading-remote-projects-and-virtual-teams?trk=ondemandfile" TargetMode="External"/><Relationship Id="rId1741" Type="http://schemas.openxmlformats.org/officeDocument/2006/relationships/hyperlink" Target="https://www.linkedin.com/learning/lean-technology-strategy-economic-frameworks-for-portfolio-and-product-management?trk=ondemandfile" TargetMode="External"/><Relationship Id="rId1742" Type="http://schemas.openxmlformats.org/officeDocument/2006/relationships/hyperlink" Target="https://www.linkedin.com/learning/paths/become-an-agile-project-manager?trk=ondemandfile" TargetMode="External"/><Relationship Id="rId1743" Type="http://schemas.openxmlformats.org/officeDocument/2006/relationships/hyperlink" Target="https://www.linkedin.com/learning/how-to-be-an-effective-project-sponsor?trk=ondemandfile" TargetMode="External"/><Relationship Id="rId1744" Type="http://schemas.openxmlformats.org/officeDocument/2006/relationships/hyperlink" Target="https://www.linkedin.com/learning/paths/become-a-business-analyst?trk=ondemandfile" TargetMode="External"/><Relationship Id="rId1745" Type="http://schemas.openxmlformats.org/officeDocument/2006/relationships/hyperlink" Target="https://www.linkedin.com/learning/business-analyst-foundations-babok-knowledge-areas?trk=ondemandfile" TargetMode="External"/><Relationship Id="rId1746" Type="http://schemas.openxmlformats.org/officeDocument/2006/relationships/hyperlink" Target="https://www.linkedin.com/learning/paths/become-a-business-intelligence-specialist?trk=ondemandfile" TargetMode="External"/><Relationship Id="rId1747" Type="http://schemas.openxmlformats.org/officeDocument/2006/relationships/hyperlink" Target="https://www.linkedin.com/learning/project-management-skills-for-leaders?trk=ondemandfile" TargetMode="External"/><Relationship Id="rId1748" Type="http://schemas.openxmlformats.org/officeDocument/2006/relationships/hyperlink" Target="https://www.linkedin.com/learning/paths/become-a-government-project-manager?trk=ondemandfile" TargetMode="External"/><Relationship Id="rId1749" Type="http://schemas.openxmlformats.org/officeDocument/2006/relationships/hyperlink" Target="https://www.linkedin.com/learning/creating-a-culture-of-service?trk=ondemandfile" TargetMode="External"/><Relationship Id="rId1740" Type="http://schemas.openxmlformats.org/officeDocument/2006/relationships/hyperlink" Target="https://www.linkedin.com/learning/how-to-stand-out-remotely?trk=ondemandfile" TargetMode="External"/><Relationship Id="rId1710" Type="http://schemas.openxmlformats.org/officeDocument/2006/relationships/hyperlink" Target="https://www.linkedin.com/learning/how-to-turn-your-entrepreneur-journey-into-a-successful-keynote-talk?trk=ondemandfile" TargetMode="External"/><Relationship Id="rId1711" Type="http://schemas.openxmlformats.org/officeDocument/2006/relationships/hyperlink" Target="https://www.linkedin.com/learning/speaking-confidently-and-effectively?trk=ondemandfile" TargetMode="External"/><Relationship Id="rId1712" Type="http://schemas.openxmlformats.org/officeDocument/2006/relationships/hyperlink" Target="https://www.linkedin.com/learning/boosting-your-confidence-public-speaking-and-performance?trk=ondemandfile" TargetMode="External"/><Relationship Id="rId1713" Type="http://schemas.openxmlformats.org/officeDocument/2006/relationships/hyperlink" Target="https://www.linkedin.com/learning/smart-video-production-with-your-webcam?trk=ondemandfile" TargetMode="External"/><Relationship Id="rId1714" Type="http://schemas.openxmlformats.org/officeDocument/2006/relationships/hyperlink" Target="https://www.linkedin.com/learning/learning-lucidchart?trk=ondemandfile" TargetMode="External"/><Relationship Id="rId1715" Type="http://schemas.openxmlformats.org/officeDocument/2006/relationships/hyperlink" Target="https://www.linkedin.com/learning/producing-screencast-videos-on-a-pc?trk=ondemandfile" TargetMode="External"/><Relationship Id="rId1716" Type="http://schemas.openxmlformats.org/officeDocument/2006/relationships/hyperlink" Target="https://www.linkedin.com/learning/business-analysis-essential-facilitation-and-workshop-skills?trk=ondemandfile" TargetMode="External"/><Relationship Id="rId1717" Type="http://schemas.openxmlformats.org/officeDocument/2006/relationships/hyperlink" Target="https://www.linkedin.com/learning/engaging-your-virtual-audience?trk=ondemandfile" TargetMode="External"/><Relationship Id="rId1718" Type="http://schemas.openxmlformats.org/officeDocument/2006/relationships/hyperlink" Target="https://www.linkedin.com/learning/present-a-techie-s-guide-to-public-speaking?trk=ondemandfile" TargetMode="External"/><Relationship Id="rId1719" Type="http://schemas.openxmlformats.org/officeDocument/2006/relationships/hyperlink" Target="https://www.linkedin.com/learning/powerpoint-2019-essential-training?trk=ondemandfile" TargetMode="External"/><Relationship Id="rId1700" Type="http://schemas.openxmlformats.org/officeDocument/2006/relationships/hyperlink" Target="https://www.linkedin.com/learning/paths/master-microsoft-powerpoint?trk=ondemandfile" TargetMode="External"/><Relationship Id="rId1701" Type="http://schemas.openxmlformats.org/officeDocument/2006/relationships/hyperlink" Target="https://www.linkedin.com/learning/learning-powerpoint-2019?trk=ondemandfile" TargetMode="External"/><Relationship Id="rId1702" Type="http://schemas.openxmlformats.org/officeDocument/2006/relationships/hyperlink" Target="https://www.linkedin.com/learning/paths/visual-communication-for-business-professionals?trk=ondemandfile" TargetMode="External"/><Relationship Id="rId1703" Type="http://schemas.openxmlformats.org/officeDocument/2006/relationships/hyperlink" Target="https://www.linkedin.com/learning/managing-meetings?trk=ondemandfile" TargetMode="External"/><Relationship Id="rId1704" Type="http://schemas.openxmlformats.org/officeDocument/2006/relationships/hyperlink" Target="https://www.linkedin.com/learning/overcoming-your-fear-of-public-speaking-2?trk=ondemandfile" TargetMode="External"/><Relationship Id="rId1705" Type="http://schemas.openxmlformats.org/officeDocument/2006/relationships/hyperlink" Target="https://www.linkedin.com/learning/public-speaking-foundations-2?trk=ondemandfile" TargetMode="External"/><Relationship Id="rId1706" Type="http://schemas.openxmlformats.org/officeDocument/2006/relationships/hyperlink" Target="https://www.linkedin.com/learning/own-your-voice-improve-presentations-and-executive-presence?trk=ondemandfile" TargetMode="External"/><Relationship Id="rId1707" Type="http://schemas.openxmlformats.org/officeDocument/2006/relationships/hyperlink" Target="https://www.linkedin.com/learning/public-speaking-energise-and-engage-your-audience?trk=ondemandfile" TargetMode="External"/><Relationship Id="rId1708" Type="http://schemas.openxmlformats.org/officeDocument/2006/relationships/hyperlink" Target="https://www.linkedin.com/learning/how-to-present-and-stay-on-point-2019?trk=ondemandfile" TargetMode="External"/><Relationship Id="rId1709" Type="http://schemas.openxmlformats.org/officeDocument/2006/relationships/hyperlink" Target="https://www.linkedin.com/learning/how-to-project-vocal-confidence?trk=ondemandfile" TargetMode="External"/><Relationship Id="rId40" Type="http://schemas.openxmlformats.org/officeDocument/2006/relationships/hyperlink" Target="https://www.linkedin.com/learning/how-to-effectively-deliver-criticism?trk=ondemandfile" TargetMode="External"/><Relationship Id="rId1334" Type="http://schemas.openxmlformats.org/officeDocument/2006/relationships/hyperlink" Target="https://www.linkedin.com/learning/leading-with-innovation?trk=ondemandfile" TargetMode="External"/><Relationship Id="rId1335" Type="http://schemas.openxmlformats.org/officeDocument/2006/relationships/hyperlink" Target="https://www.linkedin.com/learning/paths/digital-transformation-for-leaders?trk=ondemandfile" TargetMode="External"/><Relationship Id="rId42" Type="http://schemas.openxmlformats.org/officeDocument/2006/relationships/hyperlink" Target="https://www.linkedin.com/learning/unlocking-your-potential?trk=ondemandfile" TargetMode="External"/><Relationship Id="rId1336" Type="http://schemas.openxmlformats.org/officeDocument/2006/relationships/hyperlink" Target="https://www.linkedin.com/learning/built-to-last-successful-habits-of-visionary-companies?trk=ondemandfile" TargetMode="External"/><Relationship Id="rId41" Type="http://schemas.openxmlformats.org/officeDocument/2006/relationships/hyperlink" Target="https://www.linkedin.com/learning/dealing-with-disappointment-in-your-role?trk=ondemandfile" TargetMode="External"/><Relationship Id="rId1337" Type="http://schemas.openxmlformats.org/officeDocument/2006/relationships/hyperlink" Target="https://www.linkedin.com/learning/paths/digital-transformation-for-tech-leaders?trk=ondemandfile" TargetMode="External"/><Relationship Id="rId44" Type="http://schemas.openxmlformats.org/officeDocument/2006/relationships/hyperlink" Target="https://www.linkedin.com/learning/the-five-conversations-that-deliver-accountability-and-performance?trk=ondemandfile" TargetMode="External"/><Relationship Id="rId1338" Type="http://schemas.openxmlformats.org/officeDocument/2006/relationships/hyperlink" Target="https://www.linkedin.com/learning/sustainability-strategies?trk=ondemandfile" TargetMode="External"/><Relationship Id="rId43" Type="http://schemas.openxmlformats.org/officeDocument/2006/relationships/hyperlink" Target="https://www.linkedin.com/learning/prioritizing-tasks-for-maximum-impact?trk=ondemandfile" TargetMode="External"/><Relationship Id="rId1339" Type="http://schemas.openxmlformats.org/officeDocument/2006/relationships/hyperlink" Target="https://www.linkedin.com/learning/paths/leading-during-times-of-change?trk=ondemandfile" TargetMode="External"/><Relationship Id="rId46" Type="http://schemas.openxmlformats.org/officeDocument/2006/relationships/hyperlink" Target="https://www.linkedin.com/learning/how-to-organize-your-time-and-your-life?trk=ondemandfile" TargetMode="External"/><Relationship Id="rId45" Type="http://schemas.openxmlformats.org/officeDocument/2006/relationships/hyperlink" Target="https://www.linkedin.com/learning/time-management-for-busy-people?trk=ondemandfile" TargetMode="External"/><Relationship Id="rId745" Type="http://schemas.openxmlformats.org/officeDocument/2006/relationships/hyperlink" Target="https://www.linkedin.com/learning/paths/become-a-customer-support-specialist?trk=ondemandfile" TargetMode="External"/><Relationship Id="rId744" Type="http://schemas.openxmlformats.org/officeDocument/2006/relationships/hyperlink" Target="https://www.linkedin.com/learning/creating-a-culture-of-privacy?trk=ondemandfile" TargetMode="External"/><Relationship Id="rId743" Type="http://schemas.openxmlformats.org/officeDocument/2006/relationships/hyperlink" Target="https://www.linkedin.com/learning/paths/become-a-customer-service-specialist?trk=ondemandfile" TargetMode="External"/><Relationship Id="rId742" Type="http://schemas.openxmlformats.org/officeDocument/2006/relationships/hyperlink" Target="https://www.linkedin.com/learning/customer-experience-leadership?trk=ondemandfile" TargetMode="External"/><Relationship Id="rId749" Type="http://schemas.openxmlformats.org/officeDocument/2006/relationships/hyperlink" Target="https://www.linkedin.com/learning/creating-a-positive-customer-experience-2020?trk=ondemandfile" TargetMode="External"/><Relationship Id="rId748" Type="http://schemas.openxmlformats.org/officeDocument/2006/relationships/hyperlink" Target="https://www.linkedin.com/learning/customer-service-preventing-turnover?trk=ondemandfile" TargetMode="External"/><Relationship Id="rId747" Type="http://schemas.openxmlformats.org/officeDocument/2006/relationships/hyperlink" Target="https://www.linkedin.com/learning/paths/develop-your-customer-service-skills?trk=ondemandfile" TargetMode="External"/><Relationship Id="rId746" Type="http://schemas.openxmlformats.org/officeDocument/2006/relationships/hyperlink" Target="https://www.linkedin.com/learning/business-fundamentals-for-customer-success-managers?trk=ondemandfile" TargetMode="External"/><Relationship Id="rId48" Type="http://schemas.openxmlformats.org/officeDocument/2006/relationships/hyperlink" Target="https://www.linkedin.com/learning/powerful-prioritization-with-the-80-20-rule?trk=ondemandfile" TargetMode="External"/><Relationship Id="rId47" Type="http://schemas.openxmlformats.org/officeDocument/2006/relationships/hyperlink" Target="https://www.linkedin.com/learning/components-of-effective-learning?trk=ondemandfile" TargetMode="External"/><Relationship Id="rId49" Type="http://schemas.openxmlformats.org/officeDocument/2006/relationships/hyperlink" Target="https://www.linkedin.com/learning/overcoming-perfectionism?trk=ondemandfile" TargetMode="External"/><Relationship Id="rId741" Type="http://schemas.openxmlformats.org/officeDocument/2006/relationships/hyperlink" Target="https://www.linkedin.com/learning/paths/become-a-customer-service-manager?trk=ondemandfile" TargetMode="External"/><Relationship Id="rId1330" Type="http://schemas.openxmlformats.org/officeDocument/2006/relationships/hyperlink" Target="https://www.linkedin.com/learning/microsoft-365-choose-the-right-tool-for-the-job?trk=ondemandfile" TargetMode="External"/><Relationship Id="rId740" Type="http://schemas.openxmlformats.org/officeDocument/2006/relationships/hyperlink" Target="https://www.linkedin.com/learning/service-innovation?trk=ondemandfile" TargetMode="External"/><Relationship Id="rId1331" Type="http://schemas.openxmlformats.org/officeDocument/2006/relationships/hyperlink" Target="https://www.linkedin.com/learning/trending-tools?trk=ondemandfile" TargetMode="External"/><Relationship Id="rId1332" Type="http://schemas.openxmlformats.org/officeDocument/2006/relationships/hyperlink" Target="https://www.linkedin.com/learning/jeff-dyer-on-innovation?trk=ondemandfile" TargetMode="External"/><Relationship Id="rId1333" Type="http://schemas.openxmlformats.org/officeDocument/2006/relationships/hyperlink" Target="https://www.linkedin.com/learning/paths/become-a-thought-leader?trk=ondemandfile" TargetMode="External"/><Relationship Id="rId1323" Type="http://schemas.openxmlformats.org/officeDocument/2006/relationships/hyperlink" Target="https://www.linkedin.com/learning/penetration-testing-advanced-web-testing?trk=ondemandfile" TargetMode="External"/><Relationship Id="rId1324" Type="http://schemas.openxmlformats.org/officeDocument/2006/relationships/hyperlink" Target="https://www.linkedin.com/learning/advanced-nlp-with-python-for-machine-learning?trk=ondemandfile" TargetMode="External"/><Relationship Id="rId31" Type="http://schemas.openxmlformats.org/officeDocument/2006/relationships/hyperlink" Target="https://www.linkedin.com/learning/building-a-better-to-do-list?trk=ondemandfile" TargetMode="External"/><Relationship Id="rId1325" Type="http://schemas.openxmlformats.org/officeDocument/2006/relationships/hyperlink" Target="https://www.linkedin.com/learning/microsoft-power-apps-ai-builder?trk=ondemandfile" TargetMode="External"/><Relationship Id="rId30" Type="http://schemas.openxmlformats.org/officeDocument/2006/relationships/hyperlink" Target="https://www.linkedin.com/learning/productivity-tips-taking-control-of-email?trk=ondemandfile" TargetMode="External"/><Relationship Id="rId1326" Type="http://schemas.openxmlformats.org/officeDocument/2006/relationships/hyperlink" Target="https://www.linkedin.com/learning/giving-computers-vision?trk=contentmappingfile" TargetMode="External"/><Relationship Id="rId33" Type="http://schemas.openxmlformats.org/officeDocument/2006/relationships/hyperlink" Target="https://www.linkedin.com/learning/how-to-slow-down-and-be-more-productive?trk=ondemandfile" TargetMode="External"/><Relationship Id="rId1327" Type="http://schemas.openxmlformats.org/officeDocument/2006/relationships/hyperlink" Target="https://www.linkedin.com/learning/evil-by-design-persuasion-in-ux-14253964?trk=ondemandfile" TargetMode="External"/><Relationship Id="rId32" Type="http://schemas.openxmlformats.org/officeDocument/2006/relationships/hyperlink" Target="https://www.linkedin.com/learning/15-secrets-successful-people-know-about-time-management-getabstract-summary?trk=ondemandfile" TargetMode="External"/><Relationship Id="rId1328" Type="http://schemas.openxmlformats.org/officeDocument/2006/relationships/hyperlink" Target="https://www.linkedin.com/learning/first-look-python-3-9?trk=ondemandfile" TargetMode="External"/><Relationship Id="rId35" Type="http://schemas.openxmlformats.org/officeDocument/2006/relationships/hyperlink" Target="https://www.linkedin.com/learning/making-big-goals-achievable?trk=ondemandfile" TargetMode="External"/><Relationship Id="rId1329" Type="http://schemas.openxmlformats.org/officeDocument/2006/relationships/hyperlink" Target="https://www.linkedin.com/learning/agile-development-in-the-new-world-of-work?trk=ondemandfile" TargetMode="External"/><Relationship Id="rId34" Type="http://schemas.openxmlformats.org/officeDocument/2006/relationships/hyperlink" Target="https://www.linkedin.com/learning/productivity-principles-to-make-time-for-what-s-important?trk=ondemandfile" TargetMode="External"/><Relationship Id="rId739" Type="http://schemas.openxmlformats.org/officeDocument/2006/relationships/hyperlink" Target="https://www.linkedin.com/learning/how-to-fix-bad-agile?trk=ondemandfile" TargetMode="External"/><Relationship Id="rId734" Type="http://schemas.openxmlformats.org/officeDocument/2006/relationships/hyperlink" Target="https://www.linkedin.com/learning/thinking-fast-and-slow-blinkist-summary?trk=ondemandfile" TargetMode="External"/><Relationship Id="rId733" Type="http://schemas.openxmlformats.org/officeDocument/2006/relationships/hyperlink" Target="https://www.linkedin.com/learning/smarter-faster-better-blinkist-summary?trk=ondemandfile" TargetMode="External"/><Relationship Id="rId732" Type="http://schemas.openxmlformats.org/officeDocument/2006/relationships/hyperlink" Target="https://www.linkedin.com/learning/how-to-think-like-a-lawyer-to-make-decisions-and-solve-problems?trk=ondemandfile" TargetMode="External"/><Relationship Id="rId731" Type="http://schemas.openxmlformats.org/officeDocument/2006/relationships/hyperlink" Target="https://www.linkedin.com/learning/creativity-at-work-a-short-course-from-seth-godin?trk=ondemandfile" TargetMode="External"/><Relationship Id="rId738" Type="http://schemas.openxmlformats.org/officeDocument/2006/relationships/hyperlink" Target="https://www.linkedin.com/learning/decision-making-in-high-stress-situations?trk=ondemandfile" TargetMode="External"/><Relationship Id="rId737" Type="http://schemas.openxmlformats.org/officeDocument/2006/relationships/hyperlink" Target="https://www.linkedin.com/learning/cultivating-mental-agility?trk=ondemandfile" TargetMode="External"/><Relationship Id="rId736" Type="http://schemas.openxmlformats.org/officeDocument/2006/relationships/hyperlink" Target="https://www.linkedin.com/learning/dan-ariely-on-making-decisions?trk=ondemandfile" TargetMode="External"/><Relationship Id="rId735" Type="http://schemas.openxmlformats.org/officeDocument/2006/relationships/hyperlink" Target="https://www.linkedin.com/learning/overcome-overthinking?trk=ondemandfile" TargetMode="External"/><Relationship Id="rId37" Type="http://schemas.openxmlformats.org/officeDocument/2006/relationships/hyperlink" Target="https://www.linkedin.com/learning/subtle-shifts-in-thinking-for-tremendous-resilience?trk=ondemandfile" TargetMode="External"/><Relationship Id="rId36" Type="http://schemas.openxmlformats.org/officeDocument/2006/relationships/hyperlink" Target="https://www.linkedin.com/learning/time-management-tips-communication?trk=ondemandfile" TargetMode="External"/><Relationship Id="rId39" Type="http://schemas.openxmlformats.org/officeDocument/2006/relationships/hyperlink" Target="https://www.linkedin.com/learning/creating-lasting-habits?trk=ondemandfile" TargetMode="External"/><Relationship Id="rId38" Type="http://schemas.openxmlformats.org/officeDocument/2006/relationships/hyperlink" Target="https://www.linkedin.com/learning/productivity-prioritizing-at-work?trk=ondemandfile" TargetMode="External"/><Relationship Id="rId730" Type="http://schemas.openxmlformats.org/officeDocument/2006/relationships/hyperlink" Target="https://www.linkedin.com/learning/critical-thinking-and-problem-solving?trk=ondemandfile" TargetMode="External"/><Relationship Id="rId1320" Type="http://schemas.openxmlformats.org/officeDocument/2006/relationships/hyperlink" Target="https://www.linkedin.com/learning/microsoft-live-events-teams-yammer-and-stream?trk=ondemandfile" TargetMode="External"/><Relationship Id="rId1321" Type="http://schemas.openxmlformats.org/officeDocument/2006/relationships/hyperlink" Target="https://www.linkedin.com/learning/excel-for-mac-advanced-formulas-and-functions-365-2019?trk=ondemandfile" TargetMode="External"/><Relationship Id="rId1322" Type="http://schemas.openxmlformats.org/officeDocument/2006/relationships/hyperlink" Target="https://www.linkedin.com/learning/excel-for-banking-professionals?trk=ondemandfile" TargetMode="External"/><Relationship Id="rId1356" Type="http://schemas.openxmlformats.org/officeDocument/2006/relationships/hyperlink" Target="https://www.linkedin.com/learning/navigating-environmental-sustainability-a-guide-for-leaders?trk=ondemandfile" TargetMode="External"/><Relationship Id="rId2203" Type="http://schemas.openxmlformats.org/officeDocument/2006/relationships/hyperlink" Target="https://www.linkedin.com/learning/leading-inclusive-teams?trk=ondemandfile" TargetMode="External"/><Relationship Id="rId1357" Type="http://schemas.openxmlformats.org/officeDocument/2006/relationships/hyperlink" Target="https://www.linkedin.com/learning/building-resilience-as-a-leader?trk=ondemandfile" TargetMode="External"/><Relationship Id="rId2204" Type="http://schemas.openxmlformats.org/officeDocument/2006/relationships/hyperlink" Target="https://www.linkedin.com/learning/managing-a-diverse-team?trk=ondemandfile" TargetMode="External"/><Relationship Id="rId20" Type="http://schemas.openxmlformats.org/officeDocument/2006/relationships/hyperlink" Target="https://www.linkedin.com/learning/holding-yourself-accountable?trk=ondemandfile" TargetMode="External"/><Relationship Id="rId1358" Type="http://schemas.openxmlformats.org/officeDocument/2006/relationships/hyperlink" Target="https://www.linkedin.com/learning/organizational-learning-and-development?trk=ondemandfile" TargetMode="External"/><Relationship Id="rId2205" Type="http://schemas.openxmlformats.org/officeDocument/2006/relationships/hyperlink" Target="https://www.linkedin.com/learning/igniting-emotional-engagement?trk=ondemandfile" TargetMode="External"/><Relationship Id="rId1359" Type="http://schemas.openxmlformats.org/officeDocument/2006/relationships/hyperlink" Target="https://www.linkedin.com/learning/communicating-in-times-of-change?trk=ondemandfile" TargetMode="External"/><Relationship Id="rId2206" Type="http://schemas.openxmlformats.org/officeDocument/2006/relationships/hyperlink" Target="https://www.linkedin.com/learning/hiring-and-supporting-neurodiversity-in-the-workplace?trk=ondemandfile" TargetMode="External"/><Relationship Id="rId22" Type="http://schemas.openxmlformats.org/officeDocument/2006/relationships/hyperlink" Target="https://www.linkedin.com/learning/proven-tips-for-managing-your-time?trk=ondemandfile" TargetMode="External"/><Relationship Id="rId2207" Type="http://schemas.openxmlformats.org/officeDocument/2006/relationships/hyperlink" Target="https://www.linkedin.com/learning/a-manager-s-guide-to-inclusive-teams?trk=ondemandfile" TargetMode="External"/><Relationship Id="rId21" Type="http://schemas.openxmlformats.org/officeDocument/2006/relationships/hyperlink" Target="https://www.linkedin.com/learning/solving-business-problems?trk=ondemandfile" TargetMode="External"/><Relationship Id="rId2208" Type="http://schemas.openxmlformats.org/officeDocument/2006/relationships/hyperlink" Target="https://www.linkedin.com/learning/driving-inclusion-with-empathy?trk=ondemandfile" TargetMode="External"/><Relationship Id="rId24" Type="http://schemas.openxmlformats.org/officeDocument/2006/relationships/hyperlink" Target="https://www.linkedin.com/learning/time-management-tips-teamwork?trk=ondemandfile" TargetMode="External"/><Relationship Id="rId2209" Type="http://schemas.openxmlformats.org/officeDocument/2006/relationships/hyperlink" Target="https://www.linkedin.com/learning/empowering-bipoc-through-mentorship?trk=ondemandfile" TargetMode="External"/><Relationship Id="rId23" Type="http://schemas.openxmlformats.org/officeDocument/2006/relationships/hyperlink" Target="https://www.linkedin.com/learning/time-management-tips-2019?trk=ondemandfile" TargetMode="External"/><Relationship Id="rId767" Type="http://schemas.openxmlformats.org/officeDocument/2006/relationships/hyperlink" Target="https://www.linkedin.com/learning/avoiding-common-pitfalls-in-customer-success-management?trk=ondemandfile" TargetMode="External"/><Relationship Id="rId766" Type="http://schemas.openxmlformats.org/officeDocument/2006/relationships/hyperlink" Target="https://www.linkedin.com/learning/value-realization-best-practices-for-customer-success-management?trk=ondemandfile" TargetMode="External"/><Relationship Id="rId765" Type="http://schemas.openxmlformats.org/officeDocument/2006/relationships/hyperlink" Target="https://www.linkedin.com/learning/customer-success-management-fundamentals?trk=ondemandfile" TargetMode="External"/><Relationship Id="rId764" Type="http://schemas.openxmlformats.org/officeDocument/2006/relationships/hyperlink" Target="https://www.linkedin.com/learning/marketing-foundations-consumer-behavior?trk=ondemandfile" TargetMode="External"/><Relationship Id="rId769" Type="http://schemas.openxmlformats.org/officeDocument/2006/relationships/hyperlink" Target="https://www.linkedin.com/learning/engagement-preparation-best-practices-for-customer-success-management?trk=ondemandfile" TargetMode="External"/><Relationship Id="rId768" Type="http://schemas.openxmlformats.org/officeDocument/2006/relationships/hyperlink" Target="https://www.linkedin.com/learning/onboarding-and-adoption-best-practices-for-customer-success-management?trk=ondemandfile" TargetMode="External"/><Relationship Id="rId26" Type="http://schemas.openxmlformats.org/officeDocument/2006/relationships/hyperlink" Target="https://www.linkedin.com/learning/productivity-tips-finding-your-rhythm?trk=ondemandfile" TargetMode="External"/><Relationship Id="rId25" Type="http://schemas.openxmlformats.org/officeDocument/2006/relationships/hyperlink" Target="https://www.linkedin.com/learning/time-management-tips-following-through?trk=ondemandfile" TargetMode="External"/><Relationship Id="rId28" Type="http://schemas.openxmlformats.org/officeDocument/2006/relationships/hyperlink" Target="https://www.linkedin.com/learning/productivity-tips-finding-your-productive-mindset?trk=ondemandfile" TargetMode="External"/><Relationship Id="rId1350" Type="http://schemas.openxmlformats.org/officeDocument/2006/relationships/hyperlink" Target="https://www.linkedin.com/learning/coaching-your-team-from-uncertainty-to-action?trk=ondemandfile" TargetMode="External"/><Relationship Id="rId27" Type="http://schemas.openxmlformats.org/officeDocument/2006/relationships/hyperlink" Target="https://www.linkedin.com/learning/productivity-tips-using-technology?trk=ondemandfile" TargetMode="External"/><Relationship Id="rId1351" Type="http://schemas.openxmlformats.org/officeDocument/2006/relationships/hyperlink" Target="https://www.linkedin.com/learning/how-to-be-an-inclusive-leader-getabstract-summary?trk=ondemandfile" TargetMode="External"/><Relationship Id="rId763" Type="http://schemas.openxmlformats.org/officeDocument/2006/relationships/hyperlink" Target="https://www.linkedin.com/learning/empathy-for-customer-service-professionals?trk=ondemandfile" TargetMode="External"/><Relationship Id="rId1352" Type="http://schemas.openxmlformats.org/officeDocument/2006/relationships/hyperlink" Target="https://www.linkedin.com/learning/ai-for-product-managers?trk=ondemandfile" TargetMode="External"/><Relationship Id="rId29" Type="http://schemas.openxmlformats.org/officeDocument/2006/relationships/hyperlink" Target="https://www.linkedin.com/learning/productivity-tips-setting-up-your-workplace?trk=ondemandfile" TargetMode="External"/><Relationship Id="rId762" Type="http://schemas.openxmlformats.org/officeDocument/2006/relationships/hyperlink" Target="https://www.linkedin.com/learning/ecommerce-fundamentals-2?trk=ondemandfile" TargetMode="External"/><Relationship Id="rId1353" Type="http://schemas.openxmlformats.org/officeDocument/2006/relationships/hyperlink" Target="https://www.linkedin.com/learning/organization-communication?trk=ondemandfile" TargetMode="External"/><Relationship Id="rId2200" Type="http://schemas.openxmlformats.org/officeDocument/2006/relationships/hyperlink" Target="https://www.linkedin.com/learning/new-manager-foundations-2?trk=ondemandfile" TargetMode="External"/><Relationship Id="rId761" Type="http://schemas.openxmlformats.org/officeDocument/2006/relationships/hyperlink" Target="https://www.linkedin.com/learning/delivering-bad-news-to-a-customer?trk=ondemandfile" TargetMode="External"/><Relationship Id="rId1354" Type="http://schemas.openxmlformats.org/officeDocument/2006/relationships/hyperlink" Target="https://www.linkedin.com/learning/the-purpose-effect-getabstract-summary?trk=ondemandfile" TargetMode="External"/><Relationship Id="rId2201" Type="http://schemas.openxmlformats.org/officeDocument/2006/relationships/hyperlink" Target="https://www.linkedin.com/learning/business-law-for-managers?trk=ondemandfile" TargetMode="External"/><Relationship Id="rId760" Type="http://schemas.openxmlformats.org/officeDocument/2006/relationships/hyperlink" Target="https://www.linkedin.com/learning/customer-service-foundations-2?trk=ondemandfile" TargetMode="External"/><Relationship Id="rId1355" Type="http://schemas.openxmlformats.org/officeDocument/2006/relationships/hyperlink" Target="https://www.linkedin.com/learning/futures-centered-design?trk=ondemandfile" TargetMode="External"/><Relationship Id="rId2202" Type="http://schemas.openxmlformats.org/officeDocument/2006/relationships/hyperlink" Target="https://www.linkedin.com/learning/managing-generation-z?trk=ondemandfile" TargetMode="External"/><Relationship Id="rId1345" Type="http://schemas.openxmlformats.org/officeDocument/2006/relationships/hyperlink" Target="https://www.linkedin.com/learning/paths/women-in-leadership-3?trk=ondemandfile" TargetMode="External"/><Relationship Id="rId1346" Type="http://schemas.openxmlformats.org/officeDocument/2006/relationships/hyperlink" Target="https://www.linkedin.com/learning/counterintuitive-leadership-strategies-for-a-vuca-environment?trk=ondemandfile" TargetMode="External"/><Relationship Id="rId1347" Type="http://schemas.openxmlformats.org/officeDocument/2006/relationships/hyperlink" Target="https://www.linkedin.com/learning/aaron-dignan-on-transformational-change?trk=ondemandfile" TargetMode="External"/><Relationship Id="rId1348" Type="http://schemas.openxmlformats.org/officeDocument/2006/relationships/hyperlink" Target="https://www.linkedin.com/learning/leading-organizations-ten-timeless-truths-getabstract-summary?trk=ondemandfile" TargetMode="External"/><Relationship Id="rId11" Type="http://schemas.openxmlformats.org/officeDocument/2006/relationships/hyperlink" Target="https://www.linkedin.com/learning/strategic-focus-for-managers?trk=ondemandfile" TargetMode="External"/><Relationship Id="rId1349" Type="http://schemas.openxmlformats.org/officeDocument/2006/relationships/hyperlink" Target="https://www.linkedin.com/learning/using-emotions-to-leverage-and-accelerate-change-a-guide-for-leaders?trk=ondemandfile" TargetMode="External"/><Relationship Id="rId10" Type="http://schemas.openxmlformats.org/officeDocument/2006/relationships/hyperlink" Target="https://www.linkedin.com/learning/paths/remote-working-setting-yourself-and-your-teams-up-for-success?trk=ondemandfile" TargetMode="External"/><Relationship Id="rId13" Type="http://schemas.openxmlformats.org/officeDocument/2006/relationships/hyperlink" Target="https://www.linkedin.com/learning/build-a-trustworthy-reputation?trk=ondemandfile" TargetMode="External"/><Relationship Id="rId12" Type="http://schemas.openxmlformats.org/officeDocument/2006/relationships/hyperlink" Target="https://www.linkedin.com/learning/building-resilience-as-a-leader?trk=ondemandfile" TargetMode="External"/><Relationship Id="rId756" Type="http://schemas.openxmlformats.org/officeDocument/2006/relationships/hyperlink" Target="https://www.linkedin.com/learning/journey-mapping-case-studies-in-action?trk=ondemandfile" TargetMode="External"/><Relationship Id="rId755" Type="http://schemas.openxmlformats.org/officeDocument/2006/relationships/hyperlink" Target="https://www.linkedin.com/learning/winning-back-a-lost-customer-2?trk=ondemandfile" TargetMode="External"/><Relationship Id="rId754" Type="http://schemas.openxmlformats.org/officeDocument/2006/relationships/hyperlink" Target="https://www.linkedin.com/learning/calculating-the-value-and-roi-of-customer-service?trk=ondemandfile" TargetMode="External"/><Relationship Id="rId753" Type="http://schemas.openxmlformats.org/officeDocument/2006/relationships/hyperlink" Target="https://www.linkedin.com/learning/creating-positive-conversations-with-challenging-customers-2022?trk=ondemandfile" TargetMode="External"/><Relationship Id="rId759" Type="http://schemas.openxmlformats.org/officeDocument/2006/relationships/hyperlink" Target="https://www.linkedin.com/learning/talking-to-customers?trk=ondemandfile" TargetMode="External"/><Relationship Id="rId758" Type="http://schemas.openxmlformats.org/officeDocument/2006/relationships/hyperlink" Target="https://www.linkedin.com/learning/using-assessments-to-hire-customer-service-reps?trk=ondemandfile" TargetMode="External"/><Relationship Id="rId757" Type="http://schemas.openxmlformats.org/officeDocument/2006/relationships/hyperlink" Target="https://www.linkedin.com/learning/customer-service-creating-customer-value-2020?trk=ondemandfile" TargetMode="External"/><Relationship Id="rId15" Type="http://schemas.openxmlformats.org/officeDocument/2006/relationships/hyperlink" Target="https://www.linkedin.com/learning/how-to-build-virtual-accountability?trk=ondemandfile" TargetMode="External"/><Relationship Id="rId14" Type="http://schemas.openxmlformats.org/officeDocument/2006/relationships/hyperlink" Target="https://www.linkedin.com/learning/humane-productivity?trk=ondemandfile" TargetMode="External"/><Relationship Id="rId17" Type="http://schemas.openxmlformats.org/officeDocument/2006/relationships/hyperlink" Target="https://www.linkedin.com/learning/demonstrating-accountability-as-a-leader?trk=ondemandfile" TargetMode="External"/><Relationship Id="rId16" Type="http://schemas.openxmlformats.org/officeDocument/2006/relationships/hyperlink" Target="https://www.linkedin.com/learning/holding-your-team-accountable?trk=ondemandfile" TargetMode="External"/><Relationship Id="rId1340" Type="http://schemas.openxmlformats.org/officeDocument/2006/relationships/hyperlink" Target="https://www.linkedin.com/learning/creating-a-culture-of-change?trk=ondemandfile" TargetMode="External"/><Relationship Id="rId19" Type="http://schemas.openxmlformats.org/officeDocument/2006/relationships/hyperlink" Target="https://www.linkedin.com/learning/developing-a-learning-mindset?trk=ondemandfile" TargetMode="External"/><Relationship Id="rId752" Type="http://schemas.openxmlformats.org/officeDocument/2006/relationships/hyperlink" Target="https://www.linkedin.com/learning/serving-customers-in-a-continuously-changing-world?trk=ondemandfile" TargetMode="External"/><Relationship Id="rId1341" Type="http://schemas.openxmlformats.org/officeDocument/2006/relationships/hyperlink" Target="https://www.linkedin.com/learning/paths/managing-change?trk=ondemandfile" TargetMode="External"/><Relationship Id="rId18" Type="http://schemas.openxmlformats.org/officeDocument/2006/relationships/hyperlink" Target="https://www.linkedin.com/learning/be-more-productive-take-small-steps-have-big-goals?trk=ondemandfile" TargetMode="External"/><Relationship Id="rId751" Type="http://schemas.openxmlformats.org/officeDocument/2006/relationships/hyperlink" Target="https://www.linkedin.com/learning/customer-service-and-support-during-economic-downturns?trk=ondemandfile" TargetMode="External"/><Relationship Id="rId1342" Type="http://schemas.openxmlformats.org/officeDocument/2006/relationships/hyperlink" Target="https://www.linkedin.com/learning/leading-change-2018?trk=ondemandfile" TargetMode="External"/><Relationship Id="rId750" Type="http://schemas.openxmlformats.org/officeDocument/2006/relationships/hyperlink" Target="https://www.linkedin.com/learning/customer-experience-creating-customer-personas?trk=ondemandfile" TargetMode="External"/><Relationship Id="rId1343" Type="http://schemas.openxmlformats.org/officeDocument/2006/relationships/hyperlink" Target="https://www.linkedin.com/learning/paths/manage-change-and-develop-your-adaptability-skills?trk=ondemandfile" TargetMode="External"/><Relationship Id="rId1344" Type="http://schemas.openxmlformats.org/officeDocument/2006/relationships/hyperlink" Target="https://www.linkedin.com/learning/assessing-digital-maturity?trk=ondemandfile" TargetMode="External"/><Relationship Id="rId84" Type="http://schemas.openxmlformats.org/officeDocument/2006/relationships/hyperlink" Target="https://www.linkedin.com/learning/resilience-strategies-for-optimal-performance?trk=ondemandfile" TargetMode="External"/><Relationship Id="rId1774" Type="http://schemas.openxmlformats.org/officeDocument/2006/relationships/hyperlink" Target="https://docs.google.com/spreadsheets/d/125lXqIcHUrmOCQ3PkPvx9WmMu_iMuq6e8fL-2NaMLiA/edit" TargetMode="External"/><Relationship Id="rId83" Type="http://schemas.openxmlformats.org/officeDocument/2006/relationships/hyperlink" Target="https://www.linkedin.com/learning/high-performance-habits-blinkist-summary?trk=ondemandfile" TargetMode="External"/><Relationship Id="rId1775" Type="http://schemas.openxmlformats.org/officeDocument/2006/relationships/hyperlink" Target="https://www.linkedin.com/learning/project-management-foundations-integration-2?trk=ondemandfile" TargetMode="External"/><Relationship Id="rId86" Type="http://schemas.openxmlformats.org/officeDocument/2006/relationships/hyperlink" Target="https://www.linkedin.com/learning/developing-resourcefulness?trk=ondemandfile" TargetMode="External"/><Relationship Id="rId1776" Type="http://schemas.openxmlformats.org/officeDocument/2006/relationships/hyperlink" Target="https://www.linkedin.com/learning/paths/become-a-technical-program-manager?trk=ondemandfile" TargetMode="External"/><Relationship Id="rId85" Type="http://schemas.openxmlformats.org/officeDocument/2006/relationships/hyperlink" Target="https://www.linkedin.com/learning/time-management-fundamentals-14548057?trk=ondemandfile" TargetMode="External"/><Relationship Id="rId1777" Type="http://schemas.openxmlformats.org/officeDocument/2006/relationships/hyperlink" Target="https://www.linkedin.com/learning/project-management-foundations-small-projects-2?trk=ondemandfile" TargetMode="External"/><Relationship Id="rId88" Type="http://schemas.openxmlformats.org/officeDocument/2006/relationships/hyperlink" Target="https://www.linkedin.com/learning/paths/developing-resilience-and-grit?trk=ondemandfile" TargetMode="External"/><Relationship Id="rId1778" Type="http://schemas.openxmlformats.org/officeDocument/2006/relationships/hyperlink" Target="https://www.linkedin.com/learning/paths/develop-your-project-management-skills?trk=ondemandfile" TargetMode="External"/><Relationship Id="rId87" Type="http://schemas.openxmlformats.org/officeDocument/2006/relationships/hyperlink" Target="https://www.linkedin.com/learning/creating-a-culture-of-change?trk=ondemandfile" TargetMode="External"/><Relationship Id="rId1779" Type="http://schemas.openxmlformats.org/officeDocument/2006/relationships/hyperlink" Target="https://www.linkedin.com/learning/project-management-preventing-scope-creep-2?trk=ondemandfile" TargetMode="External"/><Relationship Id="rId89" Type="http://schemas.openxmlformats.org/officeDocument/2006/relationships/hyperlink" Target="https://www.linkedin.com/learning/the-new-rules-of-work?trk=ondemandfile" TargetMode="External"/><Relationship Id="rId709" Type="http://schemas.openxmlformats.org/officeDocument/2006/relationships/hyperlink" Target="https://www.linkedin.com/learning/improving-your-judgment-for-better-decision-making?trk=ondemandfile" TargetMode="External"/><Relationship Id="rId708" Type="http://schemas.openxmlformats.org/officeDocument/2006/relationships/hyperlink" Target="https://www.linkedin.com/learning/crafting-problem-and-solution-statements?trk=ondemandfile" TargetMode="External"/><Relationship Id="rId707" Type="http://schemas.openxmlformats.org/officeDocument/2006/relationships/hyperlink" Target="https://www.linkedin.com/learning/solving-business-problems?trk=ondemandfile" TargetMode="External"/><Relationship Id="rId706" Type="http://schemas.openxmlformats.org/officeDocument/2006/relationships/hyperlink" Target="https://www.linkedin.com/learning/process-improvement-foundations?trk=ondemandfile" TargetMode="External"/><Relationship Id="rId80" Type="http://schemas.openxmlformats.org/officeDocument/2006/relationships/hyperlink" Target="https://www.linkedin.com/learning/hyperfocus-blinkist-summary?trk=ondemandfile" TargetMode="External"/><Relationship Id="rId82" Type="http://schemas.openxmlformats.org/officeDocument/2006/relationships/hyperlink" Target="https://www.linkedin.com/learning/the-procrastination-cure-blinkist-summary?trk=ondemandfile" TargetMode="External"/><Relationship Id="rId81" Type="http://schemas.openxmlformats.org/officeDocument/2006/relationships/hyperlink" Target="https://www.linkedin.com/learning/the-three-secrets-to-effective-time-investment-blinkist-summary?trk=ondemandfile" TargetMode="External"/><Relationship Id="rId701" Type="http://schemas.openxmlformats.org/officeDocument/2006/relationships/hyperlink" Target="https://www.linkedin.com/learning/the-secret-to-better-decisions-stop-hoarding-chips?trk=ondemandfile" TargetMode="External"/><Relationship Id="rId700" Type="http://schemas.openxmlformats.org/officeDocument/2006/relationships/hyperlink" Target="https://www.linkedin.com/learning/crafting-questions-to-make-better-decisions?trk=ondemandfile" TargetMode="External"/><Relationship Id="rId705" Type="http://schemas.openxmlformats.org/officeDocument/2006/relationships/hyperlink" Target="https://www.linkedin.com/learning/monday-productivity-pointers?trk=ondemandfile" TargetMode="External"/><Relationship Id="rId704" Type="http://schemas.openxmlformats.org/officeDocument/2006/relationships/hyperlink" Target="https://www.linkedin.com/learning/developing-a-learning-mindset?trk=ondemandfile" TargetMode="External"/><Relationship Id="rId703" Type="http://schemas.openxmlformats.org/officeDocument/2006/relationships/hyperlink" Target="https://www.linkedin.com/learning/privacy-in-the-age-of-covid?trk=ondemandfile" TargetMode="External"/><Relationship Id="rId702" Type="http://schemas.openxmlformats.org/officeDocument/2006/relationships/hyperlink" Target="https://www.linkedin.com/learning/critical-thinking-for-better-judgment-and-decision-making?trk=ondemandfile" TargetMode="External"/><Relationship Id="rId1770" Type="http://schemas.openxmlformats.org/officeDocument/2006/relationships/hyperlink" Target="https://www.linkedin.com/learning/paths/become-a-six-sigma-yellow-belt?trk=ondemandfile" TargetMode="External"/><Relationship Id="rId1771" Type="http://schemas.openxmlformats.org/officeDocument/2006/relationships/hyperlink" Target="https://www.linkedin.com/learning/project-management-for-creative-projects-3?trk=ondemandfile" TargetMode="External"/><Relationship Id="rId1772" Type="http://schemas.openxmlformats.org/officeDocument/2006/relationships/hyperlink" Target="https://www.linkedin.com/learning/paths/become-a-software-project-manager?trk=ondemandfile" TargetMode="External"/><Relationship Id="rId1773" Type="http://schemas.openxmlformats.org/officeDocument/2006/relationships/hyperlink" Target="https://www.linkedin.com/learning/agile-coaching?trk=ondemandfile" TargetMode="External"/><Relationship Id="rId73" Type="http://schemas.openxmlformats.org/officeDocument/2006/relationships/hyperlink" Target="https://www.linkedin.com/learning/enhance-your-productivity-with-effective-note-taking?trk=ondemandfile" TargetMode="External"/><Relationship Id="rId1763" Type="http://schemas.openxmlformats.org/officeDocument/2006/relationships/hyperlink" Target="https://www.linkedin.com/learning/increase-effectiveness-with-lessons-learned?trk=ondemandfile" TargetMode="External"/><Relationship Id="rId72" Type="http://schemas.openxmlformats.org/officeDocument/2006/relationships/hyperlink" Target="https://www.linkedin.com/learning/asking-for-feedback-as-an-employee?trk=ondemandfile" TargetMode="External"/><Relationship Id="rId1764" Type="http://schemas.openxmlformats.org/officeDocument/2006/relationships/hyperlink" Target="https://www.linkedin.com/learning/paths/become-a-project-scheduler?trk=ondemandfile" TargetMode="External"/><Relationship Id="rId75" Type="http://schemas.openxmlformats.org/officeDocument/2006/relationships/hyperlink" Target="https://www.linkedin.com/learning/mastering-self-leadership?trk=ondemandfile" TargetMode="External"/><Relationship Id="rId1765" Type="http://schemas.openxmlformats.org/officeDocument/2006/relationships/hyperlink" Target="https://www.linkedin.com/learning/job-interview-tips-for-project-managers?trk=ondemandfile" TargetMode="External"/><Relationship Id="rId74" Type="http://schemas.openxmlformats.org/officeDocument/2006/relationships/hyperlink" Target="https://www.linkedin.com/learning/how-to-motivate-yourself-to-do-what-s-most-important?trk=ondemandfile" TargetMode="External"/><Relationship Id="rId1766" Type="http://schemas.openxmlformats.org/officeDocument/2006/relationships/hyperlink" Target="https://www.linkedin.com/learning/paths/becoming-a-six-sigma-black-belt?trk=ondemandfile" TargetMode="External"/><Relationship Id="rId77" Type="http://schemas.openxmlformats.org/officeDocument/2006/relationships/hyperlink" Target="https://www.linkedin.com/learning/habits-for-success?trk=ondemandfile" TargetMode="External"/><Relationship Id="rId1767" Type="http://schemas.openxmlformats.org/officeDocument/2006/relationships/hyperlink" Target="https://www.linkedin.com/learning/business-analysis-foundations-enterprise?trk=ondemandfile" TargetMode="External"/><Relationship Id="rId76" Type="http://schemas.openxmlformats.org/officeDocument/2006/relationships/hyperlink" Target="https://www.linkedin.com/learning/managing-up-as-an-employee?trk=ondemandfile" TargetMode="External"/><Relationship Id="rId1768" Type="http://schemas.openxmlformats.org/officeDocument/2006/relationships/hyperlink" Target="https://www.linkedin.com/learning/paths/becoming-a-six-sigma-green-belt?trk=ondemandfile" TargetMode="External"/><Relationship Id="rId79" Type="http://schemas.openxmlformats.org/officeDocument/2006/relationships/hyperlink" Target="https://www.linkedin.com/learning/flexible-working-blinkist-summary?trk=ondemandfile" TargetMode="External"/><Relationship Id="rId1769" Type="http://schemas.openxmlformats.org/officeDocument/2006/relationships/hyperlink" Target="https://www.linkedin.com/learning/complex-project-tips-and-tricks?trk=ondemandfile" TargetMode="External"/><Relationship Id="rId78" Type="http://schemas.openxmlformats.org/officeDocument/2006/relationships/hyperlink" Target="https://www.linkedin.com/learning/habits-to-win-every-day?trk=ondemandfile" TargetMode="External"/><Relationship Id="rId71" Type="http://schemas.openxmlformats.org/officeDocument/2006/relationships/hyperlink" Target="https://www.linkedin.com/learning/the-power-of-lists-to-get-stuff-done?trk=ondemandfile" TargetMode="External"/><Relationship Id="rId70" Type="http://schemas.openxmlformats.org/officeDocument/2006/relationships/hyperlink" Target="https://www.linkedin.com/learning/working-from-home-strategies-for-success?trk=ondemandfile" TargetMode="External"/><Relationship Id="rId1760" Type="http://schemas.openxmlformats.org/officeDocument/2006/relationships/hyperlink" Target="https://www.linkedin.com/learning/paths/become-a-project-coordinator?trk=ondemandfile" TargetMode="External"/><Relationship Id="rId1761" Type="http://schemas.openxmlformats.org/officeDocument/2006/relationships/hyperlink" Target="https://www.linkedin.com/learning/project-management-choosing-the-right-online-too?trk=ondemandfile" TargetMode="External"/><Relationship Id="rId1762" Type="http://schemas.openxmlformats.org/officeDocument/2006/relationships/hyperlink" Target="https://www.linkedin.com/learning/paths/become-a-project-manager?trk=ondemandfile" TargetMode="External"/><Relationship Id="rId62" Type="http://schemas.openxmlformats.org/officeDocument/2006/relationships/hyperlink" Target="https://www.linkedin.com/learning/enhancing-resilience?trk=ondemandfile" TargetMode="External"/><Relationship Id="rId1312" Type="http://schemas.openxmlformats.org/officeDocument/2006/relationships/hyperlink" Target="https://www.linkedin.com/learning/deep-learning-image-recognition?trk=ondemandfile" TargetMode="External"/><Relationship Id="rId1796" Type="http://schemas.openxmlformats.org/officeDocument/2006/relationships/hyperlink" Target="https://www.linkedin.com/learning/productivity-prioritizing-at-work?trk=ondemandfile" TargetMode="External"/><Relationship Id="rId61" Type="http://schemas.openxmlformats.org/officeDocument/2006/relationships/hyperlink" Target="https://www.linkedin.com/learning/delivering-results-effectively?trk=ondemandfile" TargetMode="External"/><Relationship Id="rId1313" Type="http://schemas.openxmlformats.org/officeDocument/2006/relationships/hyperlink" Target="https://www.linkedin.com/learning/deep-learning-face-recognition?trk=ondemandfile" TargetMode="External"/><Relationship Id="rId1797" Type="http://schemas.openxmlformats.org/officeDocument/2006/relationships/hyperlink" Target="https://www.linkedin.com/learning/project-leadership?trk=ondemandfile" TargetMode="External"/><Relationship Id="rId64" Type="http://schemas.openxmlformats.org/officeDocument/2006/relationships/hyperlink" Target="https://www.linkedin.com/learning/prioritizing-your-tasks?trk=ondemandfile" TargetMode="External"/><Relationship Id="rId1314" Type="http://schemas.openxmlformats.org/officeDocument/2006/relationships/hyperlink" Target="https://www.linkedin.com/learning/algorithmic-trading-and-finance-models-with-python-r-and-stata-essential-training?trk=ondemandfile" TargetMode="External"/><Relationship Id="rId1798" Type="http://schemas.openxmlformats.org/officeDocument/2006/relationships/hyperlink" Target="https://www.linkedin.com/learning/project-management-foundations-quality-2020?trk=ondemandfile" TargetMode="External"/><Relationship Id="rId63" Type="http://schemas.openxmlformats.org/officeDocument/2006/relationships/hyperlink" Target="https://www.linkedin.com/learning/powerless-to-powerful-taking-control?trk=ondemandfile" TargetMode="External"/><Relationship Id="rId1315" Type="http://schemas.openxmlformats.org/officeDocument/2006/relationships/hyperlink" Target="https://www.linkedin.com/learning/power-bi-data-modeling-with-dax?trk=ondemandfile" TargetMode="External"/><Relationship Id="rId1799" Type="http://schemas.openxmlformats.org/officeDocument/2006/relationships/hyperlink" Target="https://www.linkedin.com/learning/be-a-project-motivator-unlock-the-secrets-of-strengths-based-project-management?trk=ondemandfile" TargetMode="External"/><Relationship Id="rId66" Type="http://schemas.openxmlformats.org/officeDocument/2006/relationships/hyperlink" Target="https://www.linkedin.com/learning/what-to-do-when-there-s-too-much-to-do-getabstract-summary?trk=ondemandfile" TargetMode="External"/><Relationship Id="rId1316" Type="http://schemas.openxmlformats.org/officeDocument/2006/relationships/hyperlink" Target="https://www.linkedin.com/learning/artificial-intelligence-how-project-managers-can-leverage-ai?trk=ondemandfile" TargetMode="External"/><Relationship Id="rId65" Type="http://schemas.openxmlformats.org/officeDocument/2006/relationships/hyperlink" Target="https://www.linkedin.com/learning/happy-accidents-the-transformative-power-of-yes-and-at-work-and-in-life-getabstract-summary?trk=ondemandfile" TargetMode="External"/><Relationship Id="rId1317" Type="http://schemas.openxmlformats.org/officeDocument/2006/relationships/hyperlink" Target="https://www.linkedin.com/learning/machine-learning-for-marketing-essential-training?trk=ondemandfile" TargetMode="External"/><Relationship Id="rId68" Type="http://schemas.openxmlformats.org/officeDocument/2006/relationships/hyperlink" Target="https://www.linkedin.com/learning/balancing-work-and-life-as-a-work-from-home-parent?trk=ondemandfile" TargetMode="External"/><Relationship Id="rId1318" Type="http://schemas.openxmlformats.org/officeDocument/2006/relationships/hyperlink" Target="https://www.linkedin.com/learning/microsoft-teams-successful-meetings-and-events?trk=ondemandfile" TargetMode="External"/><Relationship Id="rId67" Type="http://schemas.openxmlformats.org/officeDocument/2006/relationships/hyperlink" Target="https://www.linkedin.com/learning/improving-the-value-of-your-time?trk=ondemandfile" TargetMode="External"/><Relationship Id="rId1319" Type="http://schemas.openxmlformats.org/officeDocument/2006/relationships/hyperlink" Target="https://www.linkedin.com/learning/quickbooks-online-tips-and-tricks?trk=ondemandfile" TargetMode="External"/><Relationship Id="rId729" Type="http://schemas.openxmlformats.org/officeDocument/2006/relationships/hyperlink" Target="https://www.linkedin.com/learning/presence-bringing-your-boldest-self-to-your-biggest-challenges-getabstract-summary?trk=ondemandfile" TargetMode="External"/><Relationship Id="rId728" Type="http://schemas.openxmlformats.org/officeDocument/2006/relationships/hyperlink" Target="https://www.linkedin.com/learning/good-economics-for-hard-times-blinkist-summary?trk=ondemandfile" TargetMode="External"/><Relationship Id="rId60" Type="http://schemas.openxmlformats.org/officeDocument/2006/relationships/hyperlink" Target="https://www.linkedin.com/learning/building-resilience?trk=ondemandfile" TargetMode="External"/><Relationship Id="rId723" Type="http://schemas.openxmlformats.org/officeDocument/2006/relationships/hyperlink" Target="https://www.linkedin.com/learning/prioritizing-your-tasks?trk=ondemandfile" TargetMode="External"/><Relationship Id="rId722" Type="http://schemas.openxmlformats.org/officeDocument/2006/relationships/hyperlink" Target="https://www.linkedin.com/learning/learning-from-failure?trk=ondemandfile" TargetMode="External"/><Relationship Id="rId721" Type="http://schemas.openxmlformats.org/officeDocument/2006/relationships/hyperlink" Target="https://www.linkedin.com/learning/fred-kofman-on-making-commitments?trk=ondemandfile" TargetMode="External"/><Relationship Id="rId720" Type="http://schemas.openxmlformats.org/officeDocument/2006/relationships/hyperlink" Target="https://www.linkedin.com/learning/enhancing-resilience?trk=ondemandfile" TargetMode="External"/><Relationship Id="rId727" Type="http://schemas.openxmlformats.org/officeDocument/2006/relationships/hyperlink" Target="https://www.linkedin.com/learning/making-decisions-2019?trk=ondemandfile" TargetMode="External"/><Relationship Id="rId726" Type="http://schemas.openxmlformats.org/officeDocument/2006/relationships/hyperlink" Target="https://www.linkedin.com/learning/powerless-to-powerful-taking-control?trk=ondemandfile" TargetMode="External"/><Relationship Id="rId725" Type="http://schemas.openxmlformats.org/officeDocument/2006/relationships/hyperlink" Target="https://www.linkedin.com/learning/successful-goal-setting?trk=ondemandfile" TargetMode="External"/><Relationship Id="rId724" Type="http://schemas.openxmlformats.org/officeDocument/2006/relationships/hyperlink" Target="https://www.linkedin.com/learning/sheryl-sandberg-and-adam-grant-on-option-b?trk=ondemandfile" TargetMode="External"/><Relationship Id="rId69" Type="http://schemas.openxmlformats.org/officeDocument/2006/relationships/hyperlink" Target="https://www.linkedin.com/learning/business-ethics-2?trk=ondemandfile" TargetMode="External"/><Relationship Id="rId1790" Type="http://schemas.openxmlformats.org/officeDocument/2006/relationships/hyperlink" Target="https://www.linkedin.com/learning/implementing-lean-a-case-study?trk=ondemandfile" TargetMode="External"/><Relationship Id="rId1791" Type="http://schemas.openxmlformats.org/officeDocument/2006/relationships/hyperlink" Target="https://www.linkedin.com/learning/from-resisting-to-embracing-lean-a-case-study?trk=ondemandfile" TargetMode="External"/><Relationship Id="rId1792" Type="http://schemas.openxmlformats.org/officeDocument/2006/relationships/hyperlink" Target="https://www.linkedin.com/learning/project-management-tips?trk=ondemandfile" TargetMode="External"/><Relationship Id="rId1793" Type="http://schemas.openxmlformats.org/officeDocument/2006/relationships/hyperlink" Target="https://www.linkedin.com/learning/time-management-tips-2019?trk=ondemandfile" TargetMode="External"/><Relationship Id="rId1310" Type="http://schemas.openxmlformats.org/officeDocument/2006/relationships/hyperlink" Target="https://www.linkedin.com/learning/text-analytics-and-predictions-with-python-essential-training?trk=ondemandfile" TargetMode="External"/><Relationship Id="rId1794" Type="http://schemas.openxmlformats.org/officeDocument/2006/relationships/hyperlink" Target="https://www.linkedin.com/learning/time-management-tips-teamwork?trk=ondemandfile" TargetMode="External"/><Relationship Id="rId1311" Type="http://schemas.openxmlformats.org/officeDocument/2006/relationships/hyperlink" Target="https://www.linkedin.com/learning/ai-accountability-essential-training?trk=ondemandfile" TargetMode="External"/><Relationship Id="rId1795" Type="http://schemas.openxmlformats.org/officeDocument/2006/relationships/hyperlink" Target="https://www.linkedin.com/learning/introducing-the-pmbok-guide-seventh-edition?trk=ondemandfile" TargetMode="External"/><Relationship Id="rId51" Type="http://schemas.openxmlformats.org/officeDocument/2006/relationships/hyperlink" Target="https://www.linkedin.com/learning/the-surprising-upside-of-procrastination?trk=ondemandfile" TargetMode="External"/><Relationship Id="rId1301" Type="http://schemas.openxmlformats.org/officeDocument/2006/relationships/hyperlink" Target="https://www.linkedin.com/learning/python-automation-and-testing?trk=ondemandfile" TargetMode="External"/><Relationship Id="rId1785" Type="http://schemas.openxmlformats.org/officeDocument/2006/relationships/hyperlink" Target="https://www.linkedin.com/learning/project-management-foundations-requirements-2?trk=ondemandfile" TargetMode="External"/><Relationship Id="rId50" Type="http://schemas.openxmlformats.org/officeDocument/2006/relationships/hyperlink" Target="https://www.linkedin.com/learning/how-to-get-things-done-ahead-of-deadlines?trk=ondemandfile" TargetMode="External"/><Relationship Id="rId1302" Type="http://schemas.openxmlformats.org/officeDocument/2006/relationships/hyperlink" Target="https://www.linkedin.com/learning/jenkins-essential-training?trk=ondemandfile" TargetMode="External"/><Relationship Id="rId1786" Type="http://schemas.openxmlformats.org/officeDocument/2006/relationships/hyperlink" Target="https://www.linkedin.com/learning/project-management-foundations-teams-2019?trk=ondemandfile" TargetMode="External"/><Relationship Id="rId53" Type="http://schemas.openxmlformats.org/officeDocument/2006/relationships/hyperlink" Target="https://www.linkedin.com/learning/how-to-manage-your-attention-and-your-priorities?trk=ondemandfile" TargetMode="External"/><Relationship Id="rId1303" Type="http://schemas.openxmlformats.org/officeDocument/2006/relationships/hyperlink" Target="https://www.linkedin.com/learning/amazon-web-services-automation-and-optimization?trk=ondemandfile" TargetMode="External"/><Relationship Id="rId1787" Type="http://schemas.openxmlformats.org/officeDocument/2006/relationships/hyperlink" Target="https://www.linkedin.com/learning/software-project-management-foundations?trk=ondemandfile" TargetMode="External"/><Relationship Id="rId52" Type="http://schemas.openxmlformats.org/officeDocument/2006/relationships/hyperlink" Target="https://www.linkedin.com/learning/secrets-of-effective-prioritization?trk=ondemandfile" TargetMode="External"/><Relationship Id="rId1304" Type="http://schemas.openxmlformats.org/officeDocument/2006/relationships/hyperlink" Target="https://www.linkedin.com/learning/api-test-automation-with-soapui?trk=ondemandfile" TargetMode="External"/><Relationship Id="rId1788" Type="http://schemas.openxmlformats.org/officeDocument/2006/relationships/hyperlink" Target="https://www.linkedin.com/learning/project-management-simplified-2?trk=ondemandfile" TargetMode="External"/><Relationship Id="rId55" Type="http://schemas.openxmlformats.org/officeDocument/2006/relationships/hyperlink" Target="https://www.linkedin.com/learning/learn-to-control-your-attention?trk=ondemandfile" TargetMode="External"/><Relationship Id="rId1305" Type="http://schemas.openxmlformats.org/officeDocument/2006/relationships/hyperlink" Target="https://www.linkedin.com/learning/ccna-security-210-260-cert-prep-4-secure-routing-and-switching?trk=ondemandfile" TargetMode="External"/><Relationship Id="rId1789" Type="http://schemas.openxmlformats.org/officeDocument/2006/relationships/hyperlink" Target="https://www.linkedin.com/learning/hoshin-plan-ning?trk=ondemandfile" TargetMode="External"/><Relationship Id="rId54" Type="http://schemas.openxmlformats.org/officeDocument/2006/relationships/hyperlink" Target="https://www.linkedin.com/learning/focus-on-what-matters-and-minimize-distraction?trk=ondemandfile" TargetMode="External"/><Relationship Id="rId1306" Type="http://schemas.openxmlformats.org/officeDocument/2006/relationships/hyperlink" Target="https://www.linkedin.com/learning/configuration-manager-configure-and-maintain-a-management-infrastructure?trk=ondemandfile" TargetMode="External"/><Relationship Id="rId57" Type="http://schemas.openxmlformats.org/officeDocument/2006/relationships/hyperlink" Target="https://www.linkedin.com/learning/get-more-done-in-less-time?trk=ondemandfile" TargetMode="External"/><Relationship Id="rId1307" Type="http://schemas.openxmlformats.org/officeDocument/2006/relationships/hyperlink" Target="https://www.linkedin.com/learning/network-virtualization-sdn-overlay-solutions?trk=ondemandfile" TargetMode="External"/><Relationship Id="rId56" Type="http://schemas.openxmlformats.org/officeDocument/2006/relationships/hyperlink" Target="https://www.linkedin.com/learning/creating-behavioral-change-that-lasts?trk=ondemandfile" TargetMode="External"/><Relationship Id="rId1308" Type="http://schemas.openxmlformats.org/officeDocument/2006/relationships/hyperlink" Target="https://www.linkedin.com/learning/azure-administration-manage-subscriptions-and-resources?trk=ondemandfile" TargetMode="External"/><Relationship Id="rId1309" Type="http://schemas.openxmlformats.org/officeDocument/2006/relationships/hyperlink" Target="https://www.linkedin.com/learning/azure-administration-deploy-and-manage-virtual-machines?trk=ondemandfile" TargetMode="External"/><Relationship Id="rId719" Type="http://schemas.openxmlformats.org/officeDocument/2006/relationships/hyperlink" Target="https://www.linkedin.com/learning/delivering-results-effectively?trk=ondemandfile" TargetMode="External"/><Relationship Id="rId718" Type="http://schemas.openxmlformats.org/officeDocument/2006/relationships/hyperlink" Target="https://www.linkedin.com/learning/cultivating-a-growth-mindset?trk=ondemandfile" TargetMode="External"/><Relationship Id="rId717" Type="http://schemas.openxmlformats.org/officeDocument/2006/relationships/hyperlink" Target="https://www.linkedin.com/learning/critical-thinking?trk=ondemandfile" TargetMode="External"/><Relationship Id="rId712" Type="http://schemas.openxmlformats.org/officeDocument/2006/relationships/hyperlink" Target="https://www.linkedin.com/learning/emotional-intelligence-as-an-inclusivity-booster?trk=ondemandfile" TargetMode="External"/><Relationship Id="rId711" Type="http://schemas.openxmlformats.org/officeDocument/2006/relationships/hyperlink" Target="https://www.linkedin.com/learning/simple-habits-for-complex-times-getabstract-summary?trk=ondemandfile" TargetMode="External"/><Relationship Id="rId710" Type="http://schemas.openxmlformats.org/officeDocument/2006/relationships/hyperlink" Target="https://www.linkedin.com/learning/how-to-use-data-visualization-to-make-better-decisions-faster?trk=ondemandfile" TargetMode="External"/><Relationship Id="rId716" Type="http://schemas.openxmlformats.org/officeDocument/2006/relationships/hyperlink" Target="https://www.linkedin.com/learning/building-resilience?trk=ondemandfile" TargetMode="External"/><Relationship Id="rId715" Type="http://schemas.openxmlformats.org/officeDocument/2006/relationships/hyperlink" Target="https://www.linkedin.com/learning/practical-creativity-for-everyone?trk=ondemandfile" TargetMode="External"/><Relationship Id="rId714" Type="http://schemas.openxmlformats.org/officeDocument/2006/relationships/hyperlink" Target="https://www.linkedin.com/learning/improving-your-thinking-2022?trk=ondemandfile" TargetMode="External"/><Relationship Id="rId713" Type="http://schemas.openxmlformats.org/officeDocument/2006/relationships/hyperlink" Target="https://www.linkedin.com/learning/overcoming-cognitive-bias-2022?trk=ondemandfile" TargetMode="External"/><Relationship Id="rId59" Type="http://schemas.openxmlformats.org/officeDocument/2006/relationships/hyperlink" Target="https://www.linkedin.com/learning/overcome-overthinking?trk=ondemandfile" TargetMode="External"/><Relationship Id="rId58" Type="http://schemas.openxmlformats.org/officeDocument/2006/relationships/hyperlink" Target="https://www.linkedin.com/learning/mixtape-learning-highlights-on-personal-effectiveness?trk=ondemandfile" TargetMode="External"/><Relationship Id="rId1780" Type="http://schemas.openxmlformats.org/officeDocument/2006/relationships/hyperlink" Target="https://www.linkedin.com/learning/paths/improve-your-business-analysis-skills?trk=ondemandfile" TargetMode="External"/><Relationship Id="rId1781" Type="http://schemas.openxmlformats.org/officeDocument/2006/relationships/hyperlink" Target="https://www.linkedin.com/learning/project-management-foundations-ethics-2?trk=ondemandfile" TargetMode="External"/><Relationship Id="rId1782" Type="http://schemas.openxmlformats.org/officeDocument/2006/relationships/hyperlink" Target="https://www.linkedin.com/learning/paths/prepare-for-the-pmi-acp-certification?trk=ondemandfile" TargetMode="External"/><Relationship Id="rId1783" Type="http://schemas.openxmlformats.org/officeDocument/2006/relationships/hyperlink" Target="https://www.linkedin.com/learning/skilled-trades-resumes-and-portfolios?trk=ondemandfile" TargetMode="External"/><Relationship Id="rId1300" Type="http://schemas.openxmlformats.org/officeDocument/2006/relationships/hyperlink" Target="https://www.linkedin.com/learning/exploratory-testing?trk=ondemandfile" TargetMode="External"/><Relationship Id="rId1784" Type="http://schemas.openxmlformats.org/officeDocument/2006/relationships/hyperlink" Target="https://www.linkedin.com/learning/paths/stay-ahead-in-construction-management?trk=ondemandfile" TargetMode="External"/><Relationship Id="rId2269" Type="http://schemas.openxmlformats.org/officeDocument/2006/relationships/hyperlink" Target="https://www.linkedin.com/learning/esl-for-business-social-interactions-for-multinational-teams?trk=ondemandfile" TargetMode="External"/><Relationship Id="rId349" Type="http://schemas.openxmlformats.org/officeDocument/2006/relationships/hyperlink" Target="https://www.linkedin.com/learning/own-your-voice-improve-presentations-and-executive-presence?trk=ondemandfile" TargetMode="External"/><Relationship Id="rId348" Type="http://schemas.openxmlformats.org/officeDocument/2006/relationships/hyperlink" Target="https://www.linkedin.com/learning/women-transforming-tech-networking?trk=ondemandfile" TargetMode="External"/><Relationship Id="rId347" Type="http://schemas.openxmlformats.org/officeDocument/2006/relationships/hyperlink" Target="https://www.linkedin.com/learning/women-transforming-tech-round-table-discussion?trk=ondemandfile" TargetMode="External"/><Relationship Id="rId346" Type="http://schemas.openxmlformats.org/officeDocument/2006/relationships/hyperlink" Target="https://www.linkedin.com/learning/women-transforming-tech-breaking-in-and-staying-in-the-industry?trk=ondemandfile" TargetMode="External"/><Relationship Id="rId2260" Type="http://schemas.openxmlformats.org/officeDocument/2006/relationships/hyperlink" Target="https://www.linkedin.com/learning/preparing-to-lead-developing-mental-toughness-in-yourself?trk=ondemandfile" TargetMode="External"/><Relationship Id="rId341" Type="http://schemas.openxmlformats.org/officeDocument/2006/relationships/hyperlink" Target="https://www.linkedin.com/learning/interpersonal-communication?trk=ondemandfile" TargetMode="External"/><Relationship Id="rId2261" Type="http://schemas.openxmlformats.org/officeDocument/2006/relationships/hyperlink" Target="https://www.linkedin.com/learning/communicating-about-culturally-sensitive-issues?trk=ondemandfile" TargetMode="External"/><Relationship Id="rId340" Type="http://schemas.openxmlformats.org/officeDocument/2006/relationships/hyperlink" Target="https://www.linkedin.com/learning/communication-foundations-2?trk=ondemandfile" TargetMode="External"/><Relationship Id="rId2262" Type="http://schemas.openxmlformats.org/officeDocument/2006/relationships/hyperlink" Target="https://www.linkedin.com/learning/understanding-and-supporting-lgbtq-plus-employees?trk=ondemandfile" TargetMode="External"/><Relationship Id="rId2263" Type="http://schemas.openxmlformats.org/officeDocument/2006/relationships/hyperlink" Target="https://www.linkedin.com/learning/getting-a-seat-at-the-table-and-making-it-count?trk=ondemandfile" TargetMode="External"/><Relationship Id="rId2264" Type="http://schemas.openxmlformats.org/officeDocument/2006/relationships/hyperlink" Target="https://www.linkedin.com/learning/understanding-and-supporting-asian-employees?trk=ondemandfile" TargetMode="External"/><Relationship Id="rId345" Type="http://schemas.openxmlformats.org/officeDocument/2006/relationships/hyperlink" Target="https://www.linkedin.com/learning/women-transforming-tech-finding-a-mentor?trk=ondemandfile" TargetMode="External"/><Relationship Id="rId2265" Type="http://schemas.openxmlformats.org/officeDocument/2006/relationships/hyperlink" Target="https://www.linkedin.com/learning/communicating-across-cultures-2?trk=ondemandfile" TargetMode="External"/><Relationship Id="rId344" Type="http://schemas.openxmlformats.org/officeDocument/2006/relationships/hyperlink" Target="https://www.linkedin.com/learning/persuading-others?trk=ondemandfile" TargetMode="External"/><Relationship Id="rId2266" Type="http://schemas.openxmlformats.org/officeDocument/2006/relationships/hyperlink" Target="https://www.linkedin.com/learning/confronting-bias-thriving-across-our-differences?trk=ondemandfile" TargetMode="External"/><Relationship Id="rId343" Type="http://schemas.openxmlformats.org/officeDocument/2006/relationships/hyperlink" Target="https://www.linkedin.com/learning/negotiation-skills?trk=ondemandfile" TargetMode="External"/><Relationship Id="rId2267" Type="http://schemas.openxmlformats.org/officeDocument/2006/relationships/hyperlink" Target="https://www.linkedin.com/learning/creating-change-diversity-and-inclusion-in-the-tech-industry?trk=ondemandfile" TargetMode="External"/><Relationship Id="rId342" Type="http://schemas.openxmlformats.org/officeDocument/2006/relationships/hyperlink" Target="https://www.linkedin.com/learning/learning-to-be-approachable?trk=ondemandfile" TargetMode="External"/><Relationship Id="rId2268" Type="http://schemas.openxmlformats.org/officeDocument/2006/relationships/hyperlink" Target="https://www.linkedin.com/learning/developing-cross-cultural-intelligence?trk=ondemandfile" TargetMode="External"/><Relationship Id="rId2258" Type="http://schemas.openxmlformats.org/officeDocument/2006/relationships/hyperlink" Target="https://www.linkedin.com/learning/proven-success-strategies-for-women-at-work?trk=ondemandfile" TargetMode="External"/><Relationship Id="rId2259" Type="http://schemas.openxmlformats.org/officeDocument/2006/relationships/hyperlink" Target="https://www.linkedin.com/learning/how-to-be-a-good-mentee?trk=ondemandfile" TargetMode="External"/><Relationship Id="rId338" Type="http://schemas.openxmlformats.org/officeDocument/2006/relationships/hyperlink" Target="https://www.linkedin.com/learning/how-to-speak-up-against-racism-at-work?trk=ondemandfile" TargetMode="External"/><Relationship Id="rId337" Type="http://schemas.openxmlformats.org/officeDocument/2006/relationships/hyperlink" Target="https://www.linkedin.com/learning/how-to-develop-friendships-and-connect-meaningfully-with-work-colleagues?trk=ondemandfile" TargetMode="External"/><Relationship Id="rId336" Type="http://schemas.openxmlformats.org/officeDocument/2006/relationships/hyperlink" Target="https://www.linkedin.com/learning/integrated-marketing-communication-strategies?trk=ondemandfile" TargetMode="External"/><Relationship Id="rId335" Type="http://schemas.openxmlformats.org/officeDocument/2006/relationships/hyperlink" Target="https://www.linkedin.com/learning/compassionate-leadership?trk=ondemandfile" TargetMode="External"/><Relationship Id="rId339" Type="http://schemas.openxmlformats.org/officeDocument/2006/relationships/hyperlink" Target="https://www.linkedin.com/learning/communicating-with-empathy?trk=ondemandfile" TargetMode="External"/><Relationship Id="rId330" Type="http://schemas.openxmlformats.org/officeDocument/2006/relationships/hyperlink" Target="https://www.linkedin.com/learning/igniting-emotional-engagement?trk=ondemandfile" TargetMode="External"/><Relationship Id="rId2250" Type="http://schemas.openxmlformats.org/officeDocument/2006/relationships/hyperlink" Target="https://www.linkedin.com/learning/building-inclusive-work-communities?trk=ondemandfile" TargetMode="External"/><Relationship Id="rId2251" Type="http://schemas.openxmlformats.org/officeDocument/2006/relationships/hyperlink" Target="https://www.linkedin.com/learning/developing-your-authentic-self-to-ignite-change?trk=ondemandfile" TargetMode="External"/><Relationship Id="rId2252" Type="http://schemas.openxmlformats.org/officeDocument/2006/relationships/hyperlink" Target="https://www.linkedin.com/learning/how-to-succeed-as-a-latina-in-a-global-work-environment?trk=ondemandfile" TargetMode="External"/><Relationship Id="rId2253" Type="http://schemas.openxmlformats.org/officeDocument/2006/relationships/hyperlink" Target="https://www.linkedin.com/learning/fair-and-effective-interviewing-for-diversity-and-inclusion?trk=ondemandfile" TargetMode="External"/><Relationship Id="rId334" Type="http://schemas.openxmlformats.org/officeDocument/2006/relationships/hyperlink" Target="https://www.linkedin.com/learning/improving-your-leadership-communications?trk=ondemandfile" TargetMode="External"/><Relationship Id="rId2254" Type="http://schemas.openxmlformats.org/officeDocument/2006/relationships/hyperlink" Target="https://www.linkedin.com/learning/diversity-and-inclusion-in-marketing-inclusive-language-for-marketers?trk=ondemandfile" TargetMode="External"/><Relationship Id="rId333" Type="http://schemas.openxmlformats.org/officeDocument/2006/relationships/hyperlink" Target="https://www.linkedin.com/learning/executive-presence-on-video-conference-calls?trk=ondemandfile" TargetMode="External"/><Relationship Id="rId2255" Type="http://schemas.openxmlformats.org/officeDocument/2006/relationships/hyperlink" Target="https://www.linkedin.com/learning/creating-safe-spaces-for-tough-conversations-at-work?trk=contentmappingfile" TargetMode="External"/><Relationship Id="rId332" Type="http://schemas.openxmlformats.org/officeDocument/2006/relationships/hyperlink" Target="https://www.linkedin.com/learning/connecting-to-executives-2018?trk=ondemandfile" TargetMode="External"/><Relationship Id="rId2256" Type="http://schemas.openxmlformats.org/officeDocument/2006/relationships/hyperlink" Target="https://www.linkedin.com/learning/strategies-to-foster-inclusive-language-at-work?trk=contentmappingfile" TargetMode="External"/><Relationship Id="rId331" Type="http://schemas.openxmlformats.org/officeDocument/2006/relationships/hyperlink" Target="https://www.linkedin.com/learning/2020-vlog-leading-with-intelligent-disobedience?trk=ondemandfile" TargetMode="External"/><Relationship Id="rId2257" Type="http://schemas.openxmlformats.org/officeDocument/2006/relationships/hyperlink" Target="https://www.linkedin.com/learning/gender-in-negotiation?trk=ondemandfile" TargetMode="External"/><Relationship Id="rId370" Type="http://schemas.openxmlformats.org/officeDocument/2006/relationships/hyperlink" Target="https://www.linkedin.com/learning/how-to-be-both-assertive-and-likable?trk=ondemandfile" TargetMode="External"/><Relationship Id="rId369" Type="http://schemas.openxmlformats.org/officeDocument/2006/relationships/hyperlink" Target="https://www.linkedin.com/learning/three-tips-for-managing-egos-and-difficult-emotions?trk=ondemandfile" TargetMode="External"/><Relationship Id="rId368" Type="http://schemas.openxmlformats.org/officeDocument/2006/relationships/hyperlink" Target="https://www.linkedin.com/learning/centered-communication-get-better-results-from-your-conversations?trk=ondemandfile" TargetMode="External"/><Relationship Id="rId2280" Type="http://schemas.openxmlformats.org/officeDocument/2006/relationships/hyperlink" Target="https://www.linkedin.com/learning/becoming-a-male-ally-at-work?trk=ondemandfile" TargetMode="External"/><Relationship Id="rId2281" Type="http://schemas.openxmlformats.org/officeDocument/2006/relationships/hyperlink" Target="https://www.linkedin.com/learning/shane-snow-on-dream-teams?trk=ondemandfile" TargetMode="External"/><Relationship Id="rId2282" Type="http://schemas.openxmlformats.org/officeDocument/2006/relationships/hyperlink" Target="https://www.linkedin.com/learning/speaking-up-at-work?trk=ondemandfile" TargetMode="External"/><Relationship Id="rId363" Type="http://schemas.openxmlformats.org/officeDocument/2006/relationships/hyperlink" Target="https://www.linkedin.com/learning/constructive-candor-important-conversations-with-coworkers-family-and-friends?trk=ondemandfile" TargetMode="External"/><Relationship Id="rId2283" Type="http://schemas.openxmlformats.org/officeDocument/2006/relationships/hyperlink" Target="https://www.linkedin.com/learning/bystander-training-from-bystander-to-upstander?trk=ondemandfile" TargetMode="External"/><Relationship Id="rId362" Type="http://schemas.openxmlformats.org/officeDocument/2006/relationships/hyperlink" Target="https://www.linkedin.com/learning/communication-within-teams?trk=ondemandfile" TargetMode="External"/><Relationship Id="rId2284" Type="http://schemas.openxmlformats.org/officeDocument/2006/relationships/hyperlink" Target="https://www.linkedin.com/learning/how-to-be-more-inclusive?trk=ondemandfile" TargetMode="External"/><Relationship Id="rId361" Type="http://schemas.openxmlformats.org/officeDocument/2006/relationships/hyperlink" Target="https://www.linkedin.com/learning/inspirational-leadership-skills-practical-motivational-leadership?trk=ondemandfile" TargetMode="External"/><Relationship Id="rId2285" Type="http://schemas.openxmlformats.org/officeDocument/2006/relationships/hyperlink" Target="https://www.linkedin.com/learning/digital-accessibility-for-the-modern-workplace-with-audio-descriptions?trk=ondemandfile" TargetMode="External"/><Relationship Id="rId360" Type="http://schemas.openxmlformats.org/officeDocument/2006/relationships/hyperlink" Target="https://www.linkedin.com/learning/the-science-of-compassion-an-introduction?trk=ondemandfile" TargetMode="External"/><Relationship Id="rId2286" Type="http://schemas.openxmlformats.org/officeDocument/2006/relationships/hyperlink" Target="https://www.linkedin.com/learning/succeeding-as-an-lgbt-professional?trk=ondemandfile" TargetMode="External"/><Relationship Id="rId367" Type="http://schemas.openxmlformats.org/officeDocument/2006/relationships/hyperlink" Target="https://www.linkedin.com/learning/becoming-assertive?trk=ondemandfile" TargetMode="External"/><Relationship Id="rId2287" Type="http://schemas.openxmlformats.org/officeDocument/2006/relationships/hyperlink" Target="https://www.linkedin.com/learning/discussing-racism-with-dr-christina-greer?trk=ondemandfile" TargetMode="External"/><Relationship Id="rId366" Type="http://schemas.openxmlformats.org/officeDocument/2006/relationships/hyperlink" Target="https://www.linkedin.com/learning/practical-influencing-techniques?trk=ondemandfile" TargetMode="External"/><Relationship Id="rId2288" Type="http://schemas.openxmlformats.org/officeDocument/2006/relationships/hyperlink" Target="https://www.linkedin.com/learning/becoming-an-ally-to-all?trk=ondemandfile" TargetMode="External"/><Relationship Id="rId365" Type="http://schemas.openxmlformats.org/officeDocument/2006/relationships/hyperlink" Target="https://www.linkedin.com/learning/media-relations-foundations?trk=ondemandfile" TargetMode="External"/><Relationship Id="rId2289" Type="http://schemas.openxmlformats.org/officeDocument/2006/relationships/hyperlink" Target="https://www.linkedin.com/learning/architectural-design-the-we-way-for-workplace-inclusivity?trk=ondemandfile" TargetMode="External"/><Relationship Id="rId364" Type="http://schemas.openxmlformats.org/officeDocument/2006/relationships/hyperlink" Target="https://www.linkedin.com/learning/how-to-win-arguments?trk=ondemandfile" TargetMode="External"/><Relationship Id="rId95" Type="http://schemas.openxmlformats.org/officeDocument/2006/relationships/hyperlink" Target="https://www.linkedin.com/learning/managing-globally?trk=ondemandfile" TargetMode="External"/><Relationship Id="rId94" Type="http://schemas.openxmlformats.org/officeDocument/2006/relationships/hyperlink" Target="https://www.linkedin.com/learning/paths/master-in-demand-professional-soft-skills?trk=ondemandfile" TargetMode="External"/><Relationship Id="rId97" Type="http://schemas.openxmlformats.org/officeDocument/2006/relationships/hyperlink" Target="https://www.linkedin.com/learning/coaching-your-team-from-uncertainty-to-action?trk=ondemandfile" TargetMode="External"/><Relationship Id="rId96" Type="http://schemas.openxmlformats.org/officeDocument/2006/relationships/hyperlink" Target="https://www.linkedin.com/learning/the-hard-thing-about-hard-things?trk=ondemandfile" TargetMode="External"/><Relationship Id="rId99" Type="http://schemas.openxmlformats.org/officeDocument/2006/relationships/hyperlink" Target="https://www.linkedin.com/learning/organizational-learning-and-development?trk=ondemandfile" TargetMode="External"/><Relationship Id="rId98" Type="http://schemas.openxmlformats.org/officeDocument/2006/relationships/hyperlink" Target="https://www.linkedin.com/learning/learning-agility?trk=ondemandfile" TargetMode="External"/><Relationship Id="rId91" Type="http://schemas.openxmlformats.org/officeDocument/2006/relationships/hyperlink" Target="https://www.linkedin.com/learning/agile-software-development-creating-an-agile-culture?trk=ondemandfile" TargetMode="External"/><Relationship Id="rId90" Type="http://schemas.openxmlformats.org/officeDocument/2006/relationships/hyperlink" Target="https://www.linkedin.com/learning/paths/managing-change?trk=ondemandfile" TargetMode="External"/><Relationship Id="rId93" Type="http://schemas.openxmlformats.org/officeDocument/2006/relationships/hyperlink" Target="https://www.linkedin.com/learning/aaron-dignan-on-transformational-change?trk=ondemandfile" TargetMode="External"/><Relationship Id="rId92" Type="http://schemas.openxmlformats.org/officeDocument/2006/relationships/hyperlink" Target="https://www.linkedin.com/learning/paths/manage-change-and-develop-your-adaptability-skills?trk=ondemandfile" TargetMode="External"/><Relationship Id="rId359" Type="http://schemas.openxmlformats.org/officeDocument/2006/relationships/hyperlink" Target="https://www.linkedin.com/learning/the-science-of-compassion-the-upward-spiral-of-compassion?trk=ondemandfile" TargetMode="External"/><Relationship Id="rId358" Type="http://schemas.openxmlformats.org/officeDocument/2006/relationships/hyperlink" Target="https://www.linkedin.com/learning/the-power-of-introverts?trk=ondemandfile" TargetMode="External"/><Relationship Id="rId357" Type="http://schemas.openxmlformats.org/officeDocument/2006/relationships/hyperlink" Target="https://www.linkedin.com/learning/becoming-an-impactful-and-influential-leader?trk=ondemandfile" TargetMode="External"/><Relationship Id="rId2270" Type="http://schemas.openxmlformats.org/officeDocument/2006/relationships/hyperlink" Target="https://www.linkedin.com/learning/cultivating-cultural-competence-and-inclusion?trk=ondemandfile" TargetMode="External"/><Relationship Id="rId2271" Type="http://schemas.openxmlformats.org/officeDocument/2006/relationships/hyperlink" Target="https://www.linkedin.com/learning/50-ways-to-fight-bias?trk=ondemandfile" TargetMode="External"/><Relationship Id="rId352" Type="http://schemas.openxmlformats.org/officeDocument/2006/relationships/hyperlink" Target="https://www.linkedin.com/learning/learning-webex-meetings-2?trk=ondemandfile" TargetMode="External"/><Relationship Id="rId2272" Type="http://schemas.openxmlformats.org/officeDocument/2006/relationships/hyperlink" Target="https://www.linkedin.com/learning/negotiating-power-and-preventing-harassment?trk=ondemandfile" TargetMode="External"/><Relationship Id="rId351" Type="http://schemas.openxmlformats.org/officeDocument/2006/relationships/hyperlink" Target="https://www.linkedin.com/learning/the-ideal-team-player-getabstract-summary?trk=ondemandfile" TargetMode="External"/><Relationship Id="rId2273" Type="http://schemas.openxmlformats.org/officeDocument/2006/relationships/hyperlink" Target="https://www.linkedin.com/learning/having-bold-and-inclusive-conversations?trk=ondemandfile" TargetMode="External"/><Relationship Id="rId350" Type="http://schemas.openxmlformats.org/officeDocument/2006/relationships/hyperlink" Target="https://www.linkedin.com/learning/social-success-at-work?trk=ondemandfile" TargetMode="External"/><Relationship Id="rId2274" Type="http://schemas.openxmlformats.org/officeDocument/2006/relationships/hyperlink" Target="https://www.linkedin.com/learning/leadership-in-tech?trk=ondemandfile" TargetMode="External"/><Relationship Id="rId2275" Type="http://schemas.openxmlformats.org/officeDocument/2006/relationships/hyperlink" Target="https://www.linkedin.com/learning/awakening-compassion-at-work-blinkist-summary?trk=ondemandfile" TargetMode="External"/><Relationship Id="rId356" Type="http://schemas.openxmlformats.org/officeDocument/2006/relationships/hyperlink" Target="https://www.linkedin.com/learning/how-to-crush-self-doubt-and-build-self-confidence?trk=ondemandfile" TargetMode="External"/><Relationship Id="rId2276" Type="http://schemas.openxmlformats.org/officeDocument/2006/relationships/hyperlink" Target="https://www.linkedin.com/learning/driving-change-and-anti-racism?trk=ondemandfile" TargetMode="External"/><Relationship Id="rId355" Type="http://schemas.openxmlformats.org/officeDocument/2006/relationships/hyperlink" Target="https://www.linkedin.com/learning/crucial-conversations-getabstract-summary?trk=ondemandfile" TargetMode="External"/><Relationship Id="rId2277" Type="http://schemas.openxmlformats.org/officeDocument/2006/relationships/hyperlink" Target="https://www.linkedin.com/learning/difficult-conversations-talking-about-race-at-work?trk=ondemandfile" TargetMode="External"/><Relationship Id="rId354" Type="http://schemas.openxmlformats.org/officeDocument/2006/relationships/hyperlink" Target="https://www.linkedin.com/learning/jeffrey-gitomer-s-little-red-book-of-sales-answers-getabstract-summary?trk=ondemandfile" TargetMode="External"/><Relationship Id="rId2278" Type="http://schemas.openxmlformats.org/officeDocument/2006/relationships/hyperlink" Target="https://www.linkedin.com/learning/just-ask-kwame-christian-on-discussing-race?trk=ondemandfile" TargetMode="External"/><Relationship Id="rId353" Type="http://schemas.openxmlformats.org/officeDocument/2006/relationships/hyperlink" Target="https://www.linkedin.com/learning/find-your-passion-how-padma-lakshmi-found-hers?trk=ondemandfile" TargetMode="External"/><Relationship Id="rId2279" Type="http://schemas.openxmlformats.org/officeDocument/2006/relationships/hyperlink" Target="https://www.linkedin.com/learning/color-and-cultural-connections?trk=ondemandfile" TargetMode="External"/><Relationship Id="rId1378" Type="http://schemas.openxmlformats.org/officeDocument/2006/relationships/hyperlink" Target="https://www.linkedin.com/learning/guy-kawasaki-on-turning-life-wisd-om-into-business-success?trk=ondemandfile" TargetMode="External"/><Relationship Id="rId2225" Type="http://schemas.openxmlformats.org/officeDocument/2006/relationships/hyperlink" Target="https://www.linkedin.com/learning/overcoming-imposter-syndrome?trk=ondemandfile" TargetMode="External"/><Relationship Id="rId1379" Type="http://schemas.openxmlformats.org/officeDocument/2006/relationships/hyperlink" Target="https://www.linkedin.com/learning/advocating-for-change-in-your-organization?trk=ondemandfile" TargetMode="External"/><Relationship Id="rId2226" Type="http://schemas.openxmlformats.org/officeDocument/2006/relationships/hyperlink" Target="https://www.linkedin.com/learning/women-transforming-tech-building-your-brand?trk=ondemandfile" TargetMode="External"/><Relationship Id="rId2227" Type="http://schemas.openxmlformats.org/officeDocument/2006/relationships/hyperlink" Target="https://www.linkedin.com/learning/women-transforming-tech-finding-a-mentor?trk=ondemandfile" TargetMode="External"/><Relationship Id="rId2228" Type="http://schemas.openxmlformats.org/officeDocument/2006/relationships/hyperlink" Target="https://www.linkedin.com/learning/women-transforming-tech-breaking-in-and-staying-in-the-industry?trk=ondemandfile" TargetMode="External"/><Relationship Id="rId2229" Type="http://schemas.openxmlformats.org/officeDocument/2006/relationships/hyperlink" Target="https://www.linkedin.com/learning/women-transforming-tech-networking?trk=ondemandfile" TargetMode="External"/><Relationship Id="rId305" Type="http://schemas.openxmlformats.org/officeDocument/2006/relationships/hyperlink" Target="https://www.linkedin.com/learning/paths/fostering-collaboration?trk=ondemandfile" TargetMode="External"/><Relationship Id="rId789" Type="http://schemas.openxmlformats.org/officeDocument/2006/relationships/hyperlink" Target="https://www.linkedin.com/learning/innovative-customer-service-techniques?trk=ondemandfile" TargetMode="External"/><Relationship Id="rId304" Type="http://schemas.openxmlformats.org/officeDocument/2006/relationships/hyperlink" Target="https://www.linkedin.com/learning/organization-communication?trk=ondemandfile" TargetMode="External"/><Relationship Id="rId788" Type="http://schemas.openxmlformats.org/officeDocument/2006/relationships/hyperlink" Target="https://www.linkedin.com/learning/customer-service-motivating-your-team?trk=ondemandfile" TargetMode="External"/><Relationship Id="rId303" Type="http://schemas.openxmlformats.org/officeDocument/2006/relationships/hyperlink" Target="https://www.linkedin.com/learning/paths/develop-your-communication-skills-and-interpersonal-influence?trk=ondemandfile" TargetMode="External"/><Relationship Id="rId787" Type="http://schemas.openxmlformats.org/officeDocument/2006/relationships/hyperlink" Target="https://www.linkedin.com/learning/customer-experience-service-blueprinting?trk=ondemandfile" TargetMode="External"/><Relationship Id="rId302" Type="http://schemas.openxmlformats.org/officeDocument/2006/relationships/hyperlink" Target="https://www.linkedin.com/learning/communicating-to-drive-people-to-take-action?trk=ondemandfile" TargetMode="External"/><Relationship Id="rId786" Type="http://schemas.openxmlformats.org/officeDocument/2006/relationships/hyperlink" Target="https://www.linkedin.com/learning/customer-experience-journey-mapping?trk=ondemandfile" TargetMode="External"/><Relationship Id="rId309" Type="http://schemas.openxmlformats.org/officeDocument/2006/relationships/hyperlink" Target="https://www.linkedin.com/learning/paths/improve-your-interoffice-politics-skills?trk=ondemandfile" TargetMode="External"/><Relationship Id="rId308" Type="http://schemas.openxmlformats.org/officeDocument/2006/relationships/hyperlink" Target="https://www.linkedin.com/learning/navigating-executive-politics?trk=ondemandfile" TargetMode="External"/><Relationship Id="rId307" Type="http://schemas.openxmlformats.org/officeDocument/2006/relationships/hyperlink" Target="https://www.linkedin.com/learning/paths/how-to-engage-meaningfully-in-allyship-and-anti-racism?trk=ondemandfile" TargetMode="External"/><Relationship Id="rId306" Type="http://schemas.openxmlformats.org/officeDocument/2006/relationships/hyperlink" Target="https://www.linkedin.com/learning/strategic-negotiation?trk=ondemandfile" TargetMode="External"/><Relationship Id="rId781" Type="http://schemas.openxmlformats.org/officeDocument/2006/relationships/hyperlink" Target="https://www.linkedin.com/learning/providing-legendary-customer-service?trk=ondemandfile" TargetMode="External"/><Relationship Id="rId1370" Type="http://schemas.openxmlformats.org/officeDocument/2006/relationships/hyperlink" Target="https://www.linkedin.com/learning/managing-organizational-change-for-managers?trk=ondemandfile" TargetMode="External"/><Relationship Id="rId780" Type="http://schemas.openxmlformats.org/officeDocument/2006/relationships/hyperlink" Target="https://www.linkedin.com/learning/customer-service-managing-customer-expectations?trk=ondemandfile" TargetMode="External"/><Relationship Id="rId1371" Type="http://schemas.openxmlformats.org/officeDocument/2006/relationships/hyperlink" Target="https://www.linkedin.com/learning/how-to-support-your-employees-well-being?trk=ondemandfile" TargetMode="External"/><Relationship Id="rId1372" Type="http://schemas.openxmlformats.org/officeDocument/2006/relationships/hyperlink" Target="https://www.linkedin.com/learning/change-management-tips-for-leaders?trk=ondemandfile" TargetMode="External"/><Relationship Id="rId1373" Type="http://schemas.openxmlformats.org/officeDocument/2006/relationships/hyperlink" Target="https://www.linkedin.com/learning/cultivating-a-growth-mindset?trk=ondemandfile" TargetMode="External"/><Relationship Id="rId2220" Type="http://schemas.openxmlformats.org/officeDocument/2006/relationships/hyperlink" Target="https://www.linkedin.com/learning/teaching-civility-in-the-workplace?trk=ondemandfile" TargetMode="External"/><Relationship Id="rId301" Type="http://schemas.openxmlformats.org/officeDocument/2006/relationships/hyperlink" Target="https://www.linkedin.com/learning/paths/develop-motivate-and-retain-employees?trk=ondemandfile" TargetMode="External"/><Relationship Id="rId785" Type="http://schemas.openxmlformats.org/officeDocument/2006/relationships/hyperlink" Target="https://www.linkedin.com/learning/creating-positive-conversations-with-challenging-customers?trk=ondemandfile" TargetMode="External"/><Relationship Id="rId1374" Type="http://schemas.openxmlformats.org/officeDocument/2006/relationships/hyperlink" Target="https://www.linkedin.com/learning/developing-a-learning-mindset?trk=ondemandfile" TargetMode="External"/><Relationship Id="rId2221" Type="http://schemas.openxmlformats.org/officeDocument/2006/relationships/hyperlink" Target="https://www.linkedin.com/learning/women-transforming-tech-round-table-discussion?trk=ondemandfile" TargetMode="External"/><Relationship Id="rId300" Type="http://schemas.openxmlformats.org/officeDocument/2006/relationships/hyperlink" Target="https://www.linkedin.com/learning/organizational-thought-leadership?trk=ondemandfile" TargetMode="External"/><Relationship Id="rId784" Type="http://schemas.openxmlformats.org/officeDocument/2006/relationships/hyperlink" Target="https://www.linkedin.com/learning/building-customer-loyalty-2?trk=ondemandfile" TargetMode="External"/><Relationship Id="rId1375" Type="http://schemas.openxmlformats.org/officeDocument/2006/relationships/hyperlink" Target="https://www.linkedin.com/learning/embracing-change-2019?trk=ondemandfile" TargetMode="External"/><Relationship Id="rId2222" Type="http://schemas.openxmlformats.org/officeDocument/2006/relationships/hyperlink" Target="https://www.linkedin.com/learning/women-transforming-tech-breaking-bias-2?trk=ondemandfile" TargetMode="External"/><Relationship Id="rId783" Type="http://schemas.openxmlformats.org/officeDocument/2006/relationships/hyperlink" Target="https://www.linkedin.com/learning/just-ask-dean-karrel?trk=ondemandfile" TargetMode="External"/><Relationship Id="rId1376" Type="http://schemas.openxmlformats.org/officeDocument/2006/relationships/hyperlink" Target="https://www.linkedin.com/learning/women-transforming-tech-breaking-in-and-staying-in-the-industry?trk=ondemandfile" TargetMode="External"/><Relationship Id="rId2223" Type="http://schemas.openxmlformats.org/officeDocument/2006/relationships/hyperlink" Target="https://www.linkedin.com/learning/teaching-with-linkedin-learning?trk=ondemandfile" TargetMode="External"/><Relationship Id="rId782" Type="http://schemas.openxmlformats.org/officeDocument/2006/relationships/hyperlink" Target="https://www.linkedin.com/learning/data-driven-harnessing-data-and-ai-to-reinvent-customer-engagement-getabstract-summary?trk=ondemandfile" TargetMode="External"/><Relationship Id="rId1377" Type="http://schemas.openxmlformats.org/officeDocument/2006/relationships/hyperlink" Target="https://www.linkedin.com/learning/women-transforming-tech-breaking-bias-2?trk=ondemandfile" TargetMode="External"/><Relationship Id="rId2224" Type="http://schemas.openxmlformats.org/officeDocument/2006/relationships/hyperlink" Target="https://www.linkedin.com/learning/marketing-to-diverse-audiences?trk=ondemandfile" TargetMode="External"/><Relationship Id="rId1367" Type="http://schemas.openxmlformats.org/officeDocument/2006/relationships/hyperlink" Target="https://www.linkedin.com/learning/building-change-capability-for-managers?trk=ondemandfile" TargetMode="External"/><Relationship Id="rId2214" Type="http://schemas.openxmlformats.org/officeDocument/2006/relationships/hyperlink" Target="https://www.linkedin.com/learning/a-guide-to-ergs-employee-resource-groups?trk=ondemandfile" TargetMode="External"/><Relationship Id="rId1368" Type="http://schemas.openxmlformats.org/officeDocument/2006/relationships/hyperlink" Target="https://www.linkedin.com/learning/body-language-for-leaders-2?trk=ondemandfile" TargetMode="External"/><Relationship Id="rId2215" Type="http://schemas.openxmlformats.org/officeDocument/2006/relationships/hyperlink" Target="https://www.linkedin.com/learning/diversity-and-inclusion-in-a-global-enterprise?trk=ondemandfile" TargetMode="External"/><Relationship Id="rId1369" Type="http://schemas.openxmlformats.org/officeDocument/2006/relationships/hyperlink" Target="https://www.linkedin.com/learning/leading-your-team-through-actionable-change?trk=ondemandfile" TargetMode="External"/><Relationship Id="rId2216" Type="http://schemas.openxmlformats.org/officeDocument/2006/relationships/hyperlink" Target="https://www.linkedin.com/learning/leveraging-neuroscience-for-business-impact?trk=ondemandfile" TargetMode="External"/><Relationship Id="rId2217" Type="http://schemas.openxmlformats.org/officeDocument/2006/relationships/hyperlink" Target="https://www.linkedin.com/learning/creating-a-great-place-to-work-for-all?trk=ondemandfile" TargetMode="External"/><Relationship Id="rId2218" Type="http://schemas.openxmlformats.org/officeDocument/2006/relationships/hyperlink" Target="https://www.linkedin.com/learning/out-and-proud-approaching-lgbt-issues-in-the-workplace?trk=ondemandfile" TargetMode="External"/><Relationship Id="rId2219" Type="http://schemas.openxmlformats.org/officeDocument/2006/relationships/hyperlink" Target="https://www.linkedin.com/learning/diversity-inclusion-and-belonging-2?trk=ondemandfile" TargetMode="External"/><Relationship Id="rId778" Type="http://schemas.openxmlformats.org/officeDocument/2006/relationships/hyperlink" Target="https://www.linkedin.com/learning/developing-a-service-mindset?trk=ondemandfile" TargetMode="External"/><Relationship Id="rId777" Type="http://schemas.openxmlformats.org/officeDocument/2006/relationships/hyperlink" Target="https://www.linkedin.com/learning/customer-service-problem-solving-and-trouble-shooting?trk=ondemandfile" TargetMode="External"/><Relationship Id="rId776" Type="http://schemas.openxmlformats.org/officeDocument/2006/relationships/hyperlink" Target="https://www.linkedin.com/learning/customer-service-managing-customer-feedback?trk=ondemandfile" TargetMode="External"/><Relationship Id="rId775" Type="http://schemas.openxmlformats.org/officeDocument/2006/relationships/hyperlink" Target="https://www.linkedin.com/learning/customer-service-handling-abusive-customers?trk=ondemandfile" TargetMode="External"/><Relationship Id="rId779" Type="http://schemas.openxmlformats.org/officeDocument/2006/relationships/hyperlink" Target="https://www.linkedin.com/learning/building-rapport-with-customers?trk=ondemandfile" TargetMode="External"/><Relationship Id="rId770" Type="http://schemas.openxmlformats.org/officeDocument/2006/relationships/hyperlink" Target="https://www.linkedin.com/learning/customer-development-for-product-managers?trk=ondemandfile" TargetMode="External"/><Relationship Id="rId1360" Type="http://schemas.openxmlformats.org/officeDocument/2006/relationships/hyperlink" Target="https://www.linkedin.com/learning/leading-with-values?trk=ondemandfile" TargetMode="External"/><Relationship Id="rId1361" Type="http://schemas.openxmlformats.org/officeDocument/2006/relationships/hyperlink" Target="https://www.linkedin.com/learning/moving-past-change-fatigue-to-the-growth-edge?trk=ondemandfile" TargetMode="External"/><Relationship Id="rId1362" Type="http://schemas.openxmlformats.org/officeDocument/2006/relationships/hyperlink" Target="https://www.linkedin.com/learning/change-leadership?trk=ondemandfile" TargetMode="External"/><Relationship Id="rId774" Type="http://schemas.openxmlformats.org/officeDocument/2006/relationships/hyperlink" Target="https://www.linkedin.com/learning/empathy-in-ux-design?trk=ondemandfile" TargetMode="External"/><Relationship Id="rId1363" Type="http://schemas.openxmlformats.org/officeDocument/2006/relationships/hyperlink" Target="https://www.linkedin.com/learning/start-with-why?trk=ondemandfile" TargetMode="External"/><Relationship Id="rId2210" Type="http://schemas.openxmlformats.org/officeDocument/2006/relationships/hyperlink" Target="https://www.linkedin.com/learning/inclusive-selling-selling-across-culture-race-and-gender-differences?trk=ondemandfile" TargetMode="External"/><Relationship Id="rId773" Type="http://schemas.openxmlformats.org/officeDocument/2006/relationships/hyperlink" Target="https://www.linkedin.com/learning/data-ethics-managing-your-private-customer-data?trk=ondemandfile" TargetMode="External"/><Relationship Id="rId1364" Type="http://schemas.openxmlformats.org/officeDocument/2006/relationships/hyperlink" Target="https://www.linkedin.com/learning/reorganize-and-transition-your-team-for-change?trk=ondemandfile" TargetMode="External"/><Relationship Id="rId2211" Type="http://schemas.openxmlformats.org/officeDocument/2006/relationships/hyperlink" Target="https://www.linkedin.com/learning/creating-inclusive-learning-experiences?trk=ondemandfile" TargetMode="External"/><Relationship Id="rId772" Type="http://schemas.openxmlformats.org/officeDocument/2006/relationships/hyperlink" Target="https://www.linkedin.com/learning/aftersale-maintaining-relationships?trk=ondemandfile" TargetMode="External"/><Relationship Id="rId1365" Type="http://schemas.openxmlformats.org/officeDocument/2006/relationships/hyperlink" Target="https://www.linkedin.com/learning/leading-with-fearless-mindfulness?trk=ondemandfile" TargetMode="External"/><Relationship Id="rId2212" Type="http://schemas.openxmlformats.org/officeDocument/2006/relationships/hyperlink" Target="https://www.linkedin.com/learning/how-to-speak-up-against-racism-at-work?trk=ondemandfile" TargetMode="External"/><Relationship Id="rId771" Type="http://schemas.openxmlformats.org/officeDocument/2006/relationships/hyperlink" Target="https://www.linkedin.com/learning/creatorup-making-business-videos-for-customers?trk=ondemandfile" TargetMode="External"/><Relationship Id="rId1366" Type="http://schemas.openxmlformats.org/officeDocument/2006/relationships/hyperlink" Target="https://www.linkedin.com/learning/supporting-workers-with-disabilities?trk=ondemandfile" TargetMode="External"/><Relationship Id="rId2213" Type="http://schemas.openxmlformats.org/officeDocument/2006/relationships/hyperlink" Target="https://www.linkedin.com/learning/how-to-foster-antiracist-workplaces-a-practical-guide-for-all-employees?trk=ondemandfile" TargetMode="External"/><Relationship Id="rId2247" Type="http://schemas.openxmlformats.org/officeDocument/2006/relationships/hyperlink" Target="https://www.linkedin.com/learning/mentorship-sponsorship-and-lifting-others-as-you-climb?trk=ondemandfile" TargetMode="External"/><Relationship Id="rId2248" Type="http://schemas.openxmlformats.org/officeDocument/2006/relationships/hyperlink" Target="https://www.linkedin.com/learning/mindfulness-diversity-and-the-quest-for-inclusion?trk=ondemandfile" TargetMode="External"/><Relationship Id="rId2249" Type="http://schemas.openxmlformats.org/officeDocument/2006/relationships/hyperlink" Target="https://www.linkedin.com/learning/talking-boldly-when-inclusion-meets-politics-at-the-office?trk=ondemandfile" TargetMode="External"/><Relationship Id="rId327" Type="http://schemas.openxmlformats.org/officeDocument/2006/relationships/hyperlink" Target="https://www.linkedin.com/learning/communicating-internally-during-times-of-uncertainty?trk=ondemandfile" TargetMode="External"/><Relationship Id="rId326" Type="http://schemas.openxmlformats.org/officeDocument/2006/relationships/hyperlink" Target="https://www.linkedin.com/learning/body-language-for-leaders-2?trk=ondemandfile" TargetMode="External"/><Relationship Id="rId325" Type="http://schemas.openxmlformats.org/officeDocument/2006/relationships/hyperlink" Target="https://www.linkedin.com/learning/supporting-a-grieving-employee-a-manager-s-guide?trk=ondemandfile" TargetMode="External"/><Relationship Id="rId324" Type="http://schemas.openxmlformats.org/officeDocument/2006/relationships/hyperlink" Target="https://www.linkedin.com/learning/influence-versus-manipulation-the-ethics-of-persuasion?trk=ondemandfile" TargetMode="External"/><Relationship Id="rId329" Type="http://schemas.openxmlformats.org/officeDocument/2006/relationships/hyperlink" Target="https://www.linkedin.com/learning/leading-with-applied-improv?trk=ondemandfile" TargetMode="External"/><Relationship Id="rId1390" Type="http://schemas.openxmlformats.org/officeDocument/2006/relationships/hyperlink" Target="https://www.linkedin.com/learning/enhancing-team-innovation?trk=ondemandfile" TargetMode="External"/><Relationship Id="rId328" Type="http://schemas.openxmlformats.org/officeDocument/2006/relationships/hyperlink" Target="https://www.linkedin.com/learning/facilitation-skills-for-managers-and-leaders?trk=ondemandfile" TargetMode="External"/><Relationship Id="rId1391" Type="http://schemas.openxmlformats.org/officeDocument/2006/relationships/hyperlink" Target="https://www.linkedin.com/learning/leading-with-kindness-and-strength?trk=ondemandfile" TargetMode="External"/><Relationship Id="rId1392" Type="http://schemas.openxmlformats.org/officeDocument/2006/relationships/hyperlink" Target="https://www.linkedin.com/learning/communicating-an-enterprise-wide-transformation?trk=ondemandfile" TargetMode="External"/><Relationship Id="rId1393" Type="http://schemas.openxmlformats.org/officeDocument/2006/relationships/hyperlink" Target="https://www.linkedin.com/learning/how-to-innovate-and-stay-relevant-in-times-of-change-and-uncertainty?trk=ondemandfile" TargetMode="External"/><Relationship Id="rId2240" Type="http://schemas.openxmlformats.org/officeDocument/2006/relationships/hyperlink" Target="https://www.linkedin.com/learning/al-empire-course-03?trk=ondemandfile" TargetMode="External"/><Relationship Id="rId1394" Type="http://schemas.openxmlformats.org/officeDocument/2006/relationships/hyperlink" Target="https://www.linkedin.com/learning/leading-in-uncertain-times?trk=ondemandfile" TargetMode="External"/><Relationship Id="rId2241" Type="http://schemas.openxmlformats.org/officeDocument/2006/relationships/hyperlink" Target="https://www.linkedin.com/learning/al-empire-course-04?trk=ondemandfile" TargetMode="External"/><Relationship Id="rId1395" Type="http://schemas.openxmlformats.org/officeDocument/2006/relationships/hyperlink" Target="https://www.linkedin.com/learning/closing-the-green-skills-gap-to-power-a-greener-economy?trk=ondemandfile" TargetMode="External"/><Relationship Id="rId2242" Type="http://schemas.openxmlformats.org/officeDocument/2006/relationships/hyperlink" Target="https://www.linkedin.com/learning/esl-for-business-multinational-communication-in-the-workplace?trk=ondemandfile" TargetMode="External"/><Relationship Id="rId323" Type="http://schemas.openxmlformats.org/officeDocument/2006/relationships/hyperlink" Target="https://www.linkedin.com/learning/communicating-in-the-lan-guage-of-leadership?trk=ondemandfile" TargetMode="External"/><Relationship Id="rId1396" Type="http://schemas.openxmlformats.org/officeDocument/2006/relationships/hyperlink" Target="https://www.linkedin.com/learning/the-employee-s-guide-to-sustainability?trk=ondemandfile" TargetMode="External"/><Relationship Id="rId2243" Type="http://schemas.openxmlformats.org/officeDocument/2006/relationships/hyperlink" Target="https://www.linkedin.com/learning/connecting-engagement-and-inclusion-to-a-culture-of-performance?trk=ondemandfile" TargetMode="External"/><Relationship Id="rId322" Type="http://schemas.openxmlformats.org/officeDocument/2006/relationships/hyperlink" Target="https://www.linkedin.com/learning/creating-a-culture-that-inspires-your-employees?trk=ondemandfile" TargetMode="External"/><Relationship Id="rId1397" Type="http://schemas.openxmlformats.org/officeDocument/2006/relationships/hyperlink" Target="https://www.linkedin.com/learning/design-of-podcast-emily-cohen-consultant-speaker-brutally-honest?trk=ondemandfile" TargetMode="External"/><Relationship Id="rId2244" Type="http://schemas.openxmlformats.org/officeDocument/2006/relationships/hyperlink" Target="https://www.linkedin.com/learning/branding-your-authentic-self?trk=ondemandfile" TargetMode="External"/><Relationship Id="rId321" Type="http://schemas.openxmlformats.org/officeDocument/2006/relationships/hyperlink" Target="https://www.linkedin.com/learning/applying-critical-thinking-strategies-to-communicate-effectively?trk=ondemandfile" TargetMode="External"/><Relationship Id="rId1398" Type="http://schemas.openxmlformats.org/officeDocument/2006/relationships/hyperlink" Target="https://www.linkedin.com/learning/reframing-organizations-blinkist-summary?trk=ondemandfile" TargetMode="External"/><Relationship Id="rId2245" Type="http://schemas.openxmlformats.org/officeDocument/2006/relationships/hyperlink" Target="https://www.linkedin.com/learning/the-value-of-employee-resource-groups?trk=ondemandfile" TargetMode="External"/><Relationship Id="rId320" Type="http://schemas.openxmlformats.org/officeDocument/2006/relationships/hyperlink" Target="https://www.linkedin.com/learning/taking-charge-of-your-leadership-conversations?trk=ondemandfile" TargetMode="External"/><Relationship Id="rId1399" Type="http://schemas.openxmlformats.org/officeDocument/2006/relationships/hyperlink" Target="https://www.linkedin.com/learning/driving-change-and-anti-racism?trk=ondemandfile" TargetMode="External"/><Relationship Id="rId2246" Type="http://schemas.openxmlformats.org/officeDocument/2006/relationships/hyperlink" Target="https://www.linkedin.com/learning/emotional-intelligence-as-an-inclusivity-booster?trk=ondemandfile" TargetMode="External"/><Relationship Id="rId1389" Type="http://schemas.openxmlformats.org/officeDocument/2006/relationships/hyperlink" Target="https://www.linkedin.com/learning/adaptive-project-leadership?trk=ondemandfile" TargetMode="External"/><Relationship Id="rId2236" Type="http://schemas.openxmlformats.org/officeDocument/2006/relationships/hyperlink" Target="https://www.linkedin.com/learning/empathy-in-business-design-for-success?trk=ondemandfile" TargetMode="External"/><Relationship Id="rId2237" Type="http://schemas.openxmlformats.org/officeDocument/2006/relationships/hyperlink" Target="https://www.linkedin.com/learning/the-power-of-introverts?trk=ondemandfile" TargetMode="External"/><Relationship Id="rId2238" Type="http://schemas.openxmlformats.org/officeDocument/2006/relationships/hyperlink" Target="https://www.linkedin.com/learning/the-science-of-compassion-an-introduction?trk=ondemandfile" TargetMode="External"/><Relationship Id="rId2239" Type="http://schemas.openxmlformats.org/officeDocument/2006/relationships/hyperlink" Target="https://www.linkedin.com/learning/the-science-of-compassion-the-upward-spiral-of-compassion?trk=ondemandfile" TargetMode="External"/><Relationship Id="rId316" Type="http://schemas.openxmlformats.org/officeDocument/2006/relationships/hyperlink" Target="https://www.linkedin.com/learning/agile-negotiation?trk=ondemandfile" TargetMode="External"/><Relationship Id="rId315" Type="http://schemas.openxmlformats.org/officeDocument/2006/relationships/hyperlink" Target="https://www.linkedin.com/learning/paths/navigating-election-season-at-work?trk=ondemandfile" TargetMode="External"/><Relationship Id="rId799" Type="http://schemas.openxmlformats.org/officeDocument/2006/relationships/hyperlink" Target="https://www.linkedin.com/learning/business-development-foundations-researching-market-and-customer-needs?trk=ondemandfile" TargetMode="External"/><Relationship Id="rId314" Type="http://schemas.openxmlformats.org/officeDocument/2006/relationships/hyperlink" Target="https://www.linkedin.com/learning/reputation-risk-management?trk=ondemandfile" TargetMode="External"/><Relationship Id="rId798" Type="http://schemas.openxmlformats.org/officeDocument/2006/relationships/hyperlink" Target="https://www.linkedin.com/learning/a-design-thinking-approach-to-putting-the-customer-first?trk=ondemandfile" TargetMode="External"/><Relationship Id="rId313" Type="http://schemas.openxmlformats.org/officeDocument/2006/relationships/hyperlink" Target="https://www.linkedin.com/learning/paths/master-in-demand-professional-soft-skills?trk=ondemandfile" TargetMode="External"/><Relationship Id="rId797" Type="http://schemas.openxmlformats.org/officeDocument/2006/relationships/hyperlink" Target="https://www.linkedin.com/learning/leading-a-customer-service-team?trk=ondemandfile" TargetMode="External"/><Relationship Id="rId319" Type="http://schemas.openxmlformats.org/officeDocument/2006/relationships/hyperlink" Target="https://www.linkedin.com/learning/becoming-a-thought-leader-2?trk=ondemandfile" TargetMode="External"/><Relationship Id="rId318" Type="http://schemas.openxmlformats.org/officeDocument/2006/relationships/hyperlink" Target="https://www.linkedin.com/learning/stories-every-leader-should-tell?trk=ondemandfile" TargetMode="External"/><Relationship Id="rId317" Type="http://schemas.openxmlformats.org/officeDocument/2006/relationships/hyperlink" Target="https://www.linkedin.com/learning/paths/visual-communication-for-business-professionals?trk=ondemandfile" TargetMode="External"/><Relationship Id="rId1380" Type="http://schemas.openxmlformats.org/officeDocument/2006/relationships/hyperlink" Target="https://www.linkedin.com/learning/demystifying-company-culture?trk=ondemandfile" TargetMode="External"/><Relationship Id="rId792" Type="http://schemas.openxmlformats.org/officeDocument/2006/relationships/hyperlink" Target="https://www.linkedin.com/learning/working-with-upset-customers?trk=ondemandfile" TargetMode="External"/><Relationship Id="rId1381" Type="http://schemas.openxmlformats.org/officeDocument/2006/relationships/hyperlink" Target="https://www.linkedin.com/learning/creating-a-great-place-to-work-for-all?trk=ondemandfile" TargetMode="External"/><Relationship Id="rId791" Type="http://schemas.openxmlformats.org/officeDocument/2006/relationships/hyperlink" Target="https://www.linkedin.com/learning/managing-a-customer-service-team?trk=ondemandfile" TargetMode="External"/><Relationship Id="rId1382" Type="http://schemas.openxmlformats.org/officeDocument/2006/relationships/hyperlink" Target="https://www.linkedin.com/learning/change-management-tips-for-individuals?trk=ondemandfile" TargetMode="External"/><Relationship Id="rId790" Type="http://schemas.openxmlformats.org/officeDocument/2006/relationships/hyperlink" Target="https://www.linkedin.com/learning/leading-a-customer-centric-culture-2?trk=ondemandfile" TargetMode="External"/><Relationship Id="rId1383" Type="http://schemas.openxmlformats.org/officeDocument/2006/relationships/hyperlink" Target="https://www.linkedin.com/learning/how-to-lead-and-inspire-change?trk=ondemandfile" TargetMode="External"/><Relationship Id="rId2230" Type="http://schemas.openxmlformats.org/officeDocument/2006/relationships/hyperlink" Target="https://www.linkedin.com/learning/finding-and-doing-the-one-thing?trk=ondemandfile" TargetMode="External"/><Relationship Id="rId1384" Type="http://schemas.openxmlformats.org/officeDocument/2006/relationships/hyperlink" Target="https://www.linkedin.com/learning/creating-safe-spaces-for-tough-conversations-at-work?trk=contentmappingfile" TargetMode="External"/><Relationship Id="rId2231" Type="http://schemas.openxmlformats.org/officeDocument/2006/relationships/hyperlink" Target="https://www.linkedin.com/learning/collaborating-with-your-millennial-manager?trk=ondemandfile" TargetMode="External"/><Relationship Id="rId312" Type="http://schemas.openxmlformats.org/officeDocument/2006/relationships/hyperlink" Target="https://www.linkedin.com/learning/communicating-values?trk=ondemandfile" TargetMode="External"/><Relationship Id="rId796" Type="http://schemas.openxmlformats.org/officeDocument/2006/relationships/hyperlink" Target="https://www.linkedin.com/learning/serving-customers-using-social-media-2?trk=ondemandfile" TargetMode="External"/><Relationship Id="rId1385" Type="http://schemas.openxmlformats.org/officeDocument/2006/relationships/hyperlink" Target="https://www.linkedin.com/learning/strategies-to-foster-inclusive-language-at-work?trk=contentmappingfile" TargetMode="External"/><Relationship Id="rId2232" Type="http://schemas.openxmlformats.org/officeDocument/2006/relationships/hyperlink" Target="https://www.linkedin.com/learning/inclusion-during-difficult-times?trk=ondemandfile" TargetMode="External"/><Relationship Id="rId311" Type="http://schemas.openxmlformats.org/officeDocument/2006/relationships/hyperlink" Target="https://www.linkedin.com/learning/paths/improve-your-teamwork-skills?trk=ondemandfile" TargetMode="External"/><Relationship Id="rId795" Type="http://schemas.openxmlformats.org/officeDocument/2006/relationships/hyperlink" Target="https://www.linkedin.com/learning/customer-service-serving-customers-through-chat-and-text?trk=ondemandfile" TargetMode="External"/><Relationship Id="rId1386" Type="http://schemas.openxmlformats.org/officeDocument/2006/relationships/hyperlink" Target="https://www.linkedin.com/learning/mixtape-highlights-from-linkedin-learning-courses?trk=ondemandfile" TargetMode="External"/><Relationship Id="rId2233" Type="http://schemas.openxmlformats.org/officeDocument/2006/relationships/hyperlink" Target="https://www.linkedin.com/learning/own-it-the-power-of-women-at-work?trk=ondemandfile" TargetMode="External"/><Relationship Id="rId310" Type="http://schemas.openxmlformats.org/officeDocument/2006/relationships/hyperlink" Target="https://www.linkedin.com/learning/leading-from-the-middle?trk=ondemandfile" TargetMode="External"/><Relationship Id="rId794" Type="http://schemas.openxmlformats.org/officeDocument/2006/relationships/hyperlink" Target="https://www.linkedin.com/learning/customer-service-using-ai-and-machine-learning?trk=ondemandfile" TargetMode="External"/><Relationship Id="rId1387" Type="http://schemas.openxmlformats.org/officeDocument/2006/relationships/hyperlink" Target="https://www.linkedin.com/learning/being-your-own-fierce-self-advocate?trk=ondemandfile" TargetMode="External"/><Relationship Id="rId2234" Type="http://schemas.openxmlformats.org/officeDocument/2006/relationships/hyperlink" Target="https://www.linkedin.com/learning/allyship-for-all?trk=ondemandfile" TargetMode="External"/><Relationship Id="rId793" Type="http://schemas.openxmlformats.org/officeDocument/2006/relationships/hyperlink" Target="https://www.linkedin.com/learning/aligning-customer-experience-with-company-culture?trk=ondemandfile" TargetMode="External"/><Relationship Id="rId1388" Type="http://schemas.openxmlformats.org/officeDocument/2006/relationships/hyperlink" Target="https://www.linkedin.com/learning/managing-employee-stress-for-positive-change?trk=ondemandfile" TargetMode="External"/><Relationship Id="rId2235" Type="http://schemas.openxmlformats.org/officeDocument/2006/relationships/hyperlink" Target="https://www.linkedin.com/learning/inclusive-communication?trk=ondemandfile" TargetMode="External"/><Relationship Id="rId297" Type="http://schemas.openxmlformats.org/officeDocument/2006/relationships/hyperlink" Target="https://www.linkedin.com/learning/paths/create-and-deliver-engaging-presentations?trk=ondemandfile" TargetMode="External"/><Relationship Id="rId296" Type="http://schemas.openxmlformats.org/officeDocument/2006/relationships/hyperlink" Target="https://www.linkedin.com/learning/cmo-foundations-working-with-leadership-and-board-of-directors?trk=ondemandfile" TargetMode="External"/><Relationship Id="rId295" Type="http://schemas.openxmlformats.org/officeDocument/2006/relationships/hyperlink" Target="https://www.linkedin.com/learning/paths/create-a-successful-pitch-for-investors?trk=ondemandfile" TargetMode="External"/><Relationship Id="rId294" Type="http://schemas.openxmlformats.org/officeDocument/2006/relationships/hyperlink" Target="https://www.linkedin.com/learning/cmo-foundations-creating-a-marketing-culture?trk=ondemandfile" TargetMode="External"/><Relationship Id="rId299" Type="http://schemas.openxmlformats.org/officeDocument/2006/relationships/hyperlink" Target="https://www.linkedin.com/learning/paths/develop-conflict-management-and-resolution-skills?trk=ondemandfile" TargetMode="External"/><Relationship Id="rId298" Type="http://schemas.openxmlformats.org/officeDocument/2006/relationships/hyperlink" Target="https://www.linkedin.com/learning/crisis-communication-for-hr?trk=ondemandfile" TargetMode="External"/><Relationship Id="rId271" Type="http://schemas.openxmlformats.org/officeDocument/2006/relationships/hyperlink" Target="https://www.linkedin.com/learning/being-an-effective-team-member?trk=ondemandfile" TargetMode="External"/><Relationship Id="rId270" Type="http://schemas.openxmlformats.org/officeDocument/2006/relationships/hyperlink" Target="https://www.linkedin.com/learning/communicating-with-transparency?trk=ondemandfile" TargetMode="External"/><Relationship Id="rId269" Type="http://schemas.openxmlformats.org/officeDocument/2006/relationships/hyperlink" Target="https://www.linkedin.com/learning/how-to-work-with-a-micromanager?trk=ondemandfile" TargetMode="External"/><Relationship Id="rId264" Type="http://schemas.openxmlformats.org/officeDocument/2006/relationships/hyperlink" Target="https://www.linkedin.com/learning/21-opportunities-for-better-networking?trk=ondemandfile" TargetMode="External"/><Relationship Id="rId263" Type="http://schemas.openxmlformats.org/officeDocument/2006/relationships/hyperlink" Target="https://www.linkedin.com/learning/the-ultimate-guide-to-networking?trk=ondemandfile" TargetMode="External"/><Relationship Id="rId262" Type="http://schemas.openxmlformats.org/officeDocument/2006/relationships/hyperlink" Target="https://www.linkedin.com/learning/leveraging-your-relationship-capital?trk=ondemandfile" TargetMode="External"/><Relationship Id="rId261" Type="http://schemas.openxmlformats.org/officeDocument/2006/relationships/hyperlink" Target="https://www.linkedin.com/learning/allyship-for-all?trk=ondemandfile" TargetMode="External"/><Relationship Id="rId268" Type="http://schemas.openxmlformats.org/officeDocument/2006/relationships/hyperlink" Target="https://www.linkedin.com/learning/connecting-and-collaborating-in-a-virtual-or-hybrid-workplace?trk=ondemandfile" TargetMode="External"/><Relationship Id="rId267" Type="http://schemas.openxmlformats.org/officeDocument/2006/relationships/hyperlink" Target="https://www.linkedin.com/learning/the-value-of-employee-resource-groups?trk=ondemandfile" TargetMode="External"/><Relationship Id="rId266" Type="http://schemas.openxmlformats.org/officeDocument/2006/relationships/hyperlink" Target="https://www.linkedin.com/learning/mindful-team-building?trk=ondemandfile" TargetMode="External"/><Relationship Id="rId265" Type="http://schemas.openxmlformats.org/officeDocument/2006/relationships/hyperlink" Target="https://www.linkedin.com/learning/embracing-conflict-as-a-gift?trk=ondemandfile" TargetMode="External"/><Relationship Id="rId260" Type="http://schemas.openxmlformats.org/officeDocument/2006/relationships/hyperlink" Target="https://www.linkedin.com/learning/teamwork-foundations-2020?trk=ondemandfile" TargetMode="External"/><Relationship Id="rId259" Type="http://schemas.openxmlformats.org/officeDocument/2006/relationships/hyperlink" Target="https://www.linkedin.com/learning/creating-a-culture-of-learning-2?trk=ondemandfile" TargetMode="External"/><Relationship Id="rId258" Type="http://schemas.openxmlformats.org/officeDocument/2006/relationships/hyperlink" Target="https://www.linkedin.com/learning/the-surprising-power-of-seeing-people-as-people?trk=ondemandfile" TargetMode="External"/><Relationship Id="rId2290" Type="http://schemas.openxmlformats.org/officeDocument/2006/relationships/hyperlink" Target="https://www.linkedin.com/learning/building-a-more-authentic-workplace?trk=ondemandfile" TargetMode="External"/><Relationship Id="rId2291" Type="http://schemas.openxmlformats.org/officeDocument/2006/relationships/hyperlink" Target="https://www.linkedin.com/learning/reshuffle-a-special-series-on-the-new-world-of-work?trk=ondemandfile" TargetMode="External"/><Relationship Id="rId2292" Type="http://schemas.openxmlformats.org/officeDocument/2006/relationships/hyperlink" Target="https://www.linkedin.com/learning/communicating-across-cultures-virtually?trk=ondemandfile" TargetMode="External"/><Relationship Id="rId2293" Type="http://schemas.openxmlformats.org/officeDocument/2006/relationships/hyperlink" Target="https://www.linkedin.com/learning/unlocking-authentic-communication-in-a-culturally-diverse-workplace?trk=ondemandfile" TargetMode="External"/><Relationship Id="rId253" Type="http://schemas.openxmlformats.org/officeDocument/2006/relationships/hyperlink" Target="https://www.linkedin.com/learning/developing-your-emotional-intelligence?trk=ondemandfile" TargetMode="External"/><Relationship Id="rId2294" Type="http://schemas.openxmlformats.org/officeDocument/2006/relationships/hyperlink" Target="https://www.linkedin.com/learning/success-strategies-for-women-in-the-workplace?trk=ondemandfile" TargetMode="External"/><Relationship Id="rId252" Type="http://schemas.openxmlformats.org/officeDocument/2006/relationships/hyperlink" Target="https://www.linkedin.com/learning/developing-self-awareness?trk=ondemandfile" TargetMode="External"/><Relationship Id="rId2295" Type="http://schemas.openxmlformats.org/officeDocument/2006/relationships/hyperlink" Target="https://www.linkedin.com/learning/empathy-at-work?trk=ondemandfile" TargetMode="External"/><Relationship Id="rId251" Type="http://schemas.openxmlformats.org/officeDocument/2006/relationships/hyperlink" Target="https://www.linkedin.com/learning/communicating-with-empathy?trk=ondemandfile" TargetMode="External"/><Relationship Id="rId2296" Type="http://schemas.openxmlformats.org/officeDocument/2006/relationships/hyperlink" Target="https://www.linkedin.com/learning/equity-first-the-path-to-inclusion-and-belonging?trk=ondemandfile" TargetMode="External"/><Relationship Id="rId250" Type="http://schemas.openxmlformats.org/officeDocument/2006/relationships/hyperlink" Target="https://www.linkedin.com/learning/collaboration-principles-and-process?trk=ondemandfile" TargetMode="External"/><Relationship Id="rId2297" Type="http://schemas.openxmlformats.org/officeDocument/2006/relationships/hyperlink" Target="https://www.linkedin.com/learning/creating-a-connection-culture?trk=ondemandfile" TargetMode="External"/><Relationship Id="rId257" Type="http://schemas.openxmlformats.org/officeDocument/2006/relationships/hyperlink" Target="https://www.linkedin.com/learning/social-success-at-work?trk=ondemandfile" TargetMode="External"/><Relationship Id="rId2298" Type="http://schemas.openxmlformats.org/officeDocument/2006/relationships/hyperlink" Target="https://www.linkedin.com/learning/fostering-belonging-as-a-leader?trk=ondemandfile" TargetMode="External"/><Relationship Id="rId256" Type="http://schemas.openxmlformats.org/officeDocument/2006/relationships/hyperlink" Target="https://www.linkedin.com/learning/women-transforming-tech-networking?trk=ondemandfile" TargetMode="External"/><Relationship Id="rId2299" Type="http://schemas.openxmlformats.org/officeDocument/2006/relationships/hyperlink" Target="https://www.linkedin.com/learning/leadership-strategies-for-women?trk=ondemandfile" TargetMode="External"/><Relationship Id="rId255" Type="http://schemas.openxmlformats.org/officeDocument/2006/relationships/hyperlink" Target="https://www.linkedin.com/learning/working-on-a-cross-functional-team?trk=ondemandfile" TargetMode="External"/><Relationship Id="rId254" Type="http://schemas.openxmlformats.org/officeDocument/2006/relationships/hyperlink" Target="https://www.linkedin.com/learning/interpersonal-communication?trk=ondemandfile" TargetMode="External"/><Relationship Id="rId293" Type="http://schemas.openxmlformats.org/officeDocument/2006/relationships/hyperlink" Target="https://www.linkedin.com/learning/paths/communicating-during-times-of-change?trk=ondemandfile" TargetMode="External"/><Relationship Id="rId292" Type="http://schemas.openxmlformats.org/officeDocument/2006/relationships/hyperlink" Target="https://www.linkedin.com/learning/doing-good-to-build-a-profitable-business?trk=ondemandfile" TargetMode="External"/><Relationship Id="rId291" Type="http://schemas.openxmlformats.org/officeDocument/2006/relationships/hyperlink" Target="https://www.linkedin.com/learning/developing-business-partnerships?trk=ondemandfile" TargetMode="External"/><Relationship Id="rId290" Type="http://schemas.openxmlformats.org/officeDocument/2006/relationships/hyperlink" Target="https://www.linkedin.com/learning/empathy-at-work?trk=ondemandfile" TargetMode="External"/><Relationship Id="rId286" Type="http://schemas.openxmlformats.org/officeDocument/2006/relationships/hyperlink" Target="https://www.linkedin.com/learning/redesigning-how-we-work-in-2021?trk=ondemandfile" TargetMode="External"/><Relationship Id="rId285" Type="http://schemas.openxmlformats.org/officeDocument/2006/relationships/hyperlink" Target="https://www.linkedin.com/learning/managing-up-as-an-employee?trk=ondemandfile" TargetMode="External"/><Relationship Id="rId284" Type="http://schemas.openxmlformats.org/officeDocument/2006/relationships/hyperlink" Target="https://www.linkedin.com/learning/essentials-of-team-collaboration?trk=ondemandfile" TargetMode="External"/><Relationship Id="rId283" Type="http://schemas.openxmlformats.org/officeDocument/2006/relationships/hyperlink" Target="https://www.linkedin.com/learning/building-relationships-while-working-from-home?trk=ondemandfile" TargetMode="External"/><Relationship Id="rId289" Type="http://schemas.openxmlformats.org/officeDocument/2006/relationships/hyperlink" Target="https://www.linkedin.com/learning/cultivating-grit-and-embracing-adversity-on-your-team?trk=ondemandfile" TargetMode="External"/><Relationship Id="rId288" Type="http://schemas.openxmlformats.org/officeDocument/2006/relationships/hyperlink" Target="https://www.linkedin.com/learning/business-collaboration-in-the-modern-workplace?trk=ondemandfile" TargetMode="External"/><Relationship Id="rId287" Type="http://schemas.openxmlformats.org/officeDocument/2006/relationships/hyperlink" Target="https://www.linkedin.com/learning/creating-a-connection-culture?trk=ondemandfile" TargetMode="External"/><Relationship Id="rId282" Type="http://schemas.openxmlformats.org/officeDocument/2006/relationships/hyperlink" Target="https://www.linkedin.com/learning/having-bold-and-inclusive-conversations?trk=ondemandfile" TargetMode="External"/><Relationship Id="rId281" Type="http://schemas.openxmlformats.org/officeDocument/2006/relationships/hyperlink" Target="https://www.linkedin.com/learning/business-ethics-2?trk=ondemandfile" TargetMode="External"/><Relationship Id="rId280" Type="http://schemas.openxmlformats.org/officeDocument/2006/relationships/hyperlink" Target="https://www.linkedin.com/learning/dealing-with-grief-loss-and-change-as-an-employee?trk=ondemandfile" TargetMode="External"/><Relationship Id="rId275" Type="http://schemas.openxmlformats.org/officeDocument/2006/relationships/hyperlink" Target="https://www.linkedin.com/learning/microsoft-viva-first-look?trk=ondemandfile" TargetMode="External"/><Relationship Id="rId274" Type="http://schemas.openxmlformats.org/officeDocument/2006/relationships/hyperlink" Target="https://www.linkedin.com/learning/improving-your-listening-skills?trk=ondemandfile" TargetMode="External"/><Relationship Id="rId273" Type="http://schemas.openxmlformats.org/officeDocument/2006/relationships/hyperlink" Target="https://www.linkedin.com/learning/giving-and-receiving-feedback?trk=ondemandfile" TargetMode="External"/><Relationship Id="rId272" Type="http://schemas.openxmlformats.org/officeDocument/2006/relationships/hyperlink" Target="https://www.linkedin.com/learning/building-trust-2018?trk=ondemandfile" TargetMode="External"/><Relationship Id="rId279" Type="http://schemas.openxmlformats.org/officeDocument/2006/relationships/hyperlink" Target="https://www.linkedin.com/learning/why-trust-matters-with-rachel-botsman?trk=ondemandfile" TargetMode="External"/><Relationship Id="rId278" Type="http://schemas.openxmlformats.org/officeDocument/2006/relationships/hyperlink" Target="https://www.linkedin.com/learning/professional-networking?trk=ondemandfile" TargetMode="External"/><Relationship Id="rId277" Type="http://schemas.openxmlformats.org/officeDocument/2006/relationships/hyperlink" Target="https://www.linkedin.com/learning/effective-listening?trk=ondemandfile" TargetMode="External"/><Relationship Id="rId276" Type="http://schemas.openxmlformats.org/officeDocument/2006/relationships/hyperlink" Target="https://www.linkedin.com/learning/learning-to-say-no-with-confidence-and-grace?trk=ondemandfile" TargetMode="External"/><Relationship Id="rId1851" Type="http://schemas.openxmlformats.org/officeDocument/2006/relationships/hyperlink" Target="https://www.linkedin.com/learning/project-resource-management?trk=ondemandfile" TargetMode="External"/><Relationship Id="rId1852" Type="http://schemas.openxmlformats.org/officeDocument/2006/relationships/hyperlink" Target="https://www.linkedin.com/learning/tailoring-project-delivery?trk=ondemandfile" TargetMode="External"/><Relationship Id="rId1853" Type="http://schemas.openxmlformats.org/officeDocument/2006/relationships/hyperlink" Target="https://www.linkedin.com/learning/advanced-agile-the-team-s-mindset?trk=ondemandfile" TargetMode="External"/><Relationship Id="rId1854" Type="http://schemas.openxmlformats.org/officeDocument/2006/relationships/hyperlink" Target="https://www.linkedin.com/learning/how-to-manage-lean-six-sigma-projects-part-ii?trk=ondemandfile" TargetMode="External"/><Relationship Id="rId1855" Type="http://schemas.openxmlformats.org/officeDocument/2006/relationships/hyperlink" Target="https://www.linkedin.com/learning/cmo-foundations-measuring-marketing-effectiveness-roi?trk=ondemandfile" TargetMode="External"/><Relationship Id="rId1856" Type="http://schemas.openxmlformats.org/officeDocument/2006/relationships/hyperlink" Target="https://www.linkedin.com/learning/paths/become-a-sales-manager?trk=ondemandfile" TargetMode="External"/><Relationship Id="rId1857" Type="http://schemas.openxmlformats.org/officeDocument/2006/relationships/hyperlink" Target="https://www.linkedin.com/learning/business-fundamentals-for-customer-success-managers?trk=ondemandfile" TargetMode="External"/><Relationship Id="rId1858" Type="http://schemas.openxmlformats.org/officeDocument/2006/relationships/hyperlink" Target="https://www.linkedin.com/learning/paths/become-a-sales-representative?trk=ondemandfile" TargetMode="External"/><Relationship Id="rId1859" Type="http://schemas.openxmlformats.org/officeDocument/2006/relationships/hyperlink" Target="https://www.linkedin.com/learning/retail-sales-management?trk=ondemandfile" TargetMode="External"/><Relationship Id="rId1850" Type="http://schemas.openxmlformats.org/officeDocument/2006/relationships/hyperlink" Target="https://www.linkedin.com/learning/how-to-manage-lean-six-sigma-projects-part-i?trk=ondemandfile" TargetMode="External"/><Relationship Id="rId1840" Type="http://schemas.openxmlformats.org/officeDocument/2006/relationships/hyperlink" Target="https://www.linkedin.com/learning/jira-basic-administration?trk=ondemandfile" TargetMode="External"/><Relationship Id="rId1841" Type="http://schemas.openxmlformats.org/officeDocument/2006/relationships/hyperlink" Target="https://www.linkedin.com/learning/artificial-intelligence-how-project-managers-can-leverage-ai?trk=ondemandfile" TargetMode="External"/><Relationship Id="rId1842" Type="http://schemas.openxmlformats.org/officeDocument/2006/relationships/hyperlink" Target="https://www.linkedin.com/learning/how-to-fix-bad-agile?trk=ondemandfile" TargetMode="External"/><Relationship Id="rId1843" Type="http://schemas.openxmlformats.org/officeDocument/2006/relationships/hyperlink" Target="https://www.linkedin.com/learning/agile-rebranding?trk=ondemandfile" TargetMode="External"/><Relationship Id="rId1844" Type="http://schemas.openxmlformats.org/officeDocument/2006/relationships/hyperlink" Target="https://www.linkedin.com/learning/what-is-disciplined-agile?trk=ondemandfile" TargetMode="External"/><Relationship Id="rId1845" Type="http://schemas.openxmlformats.org/officeDocument/2006/relationships/hyperlink" Target="https://www.linkedin.com/learning/advanced-basecamp?trk=ondemandfile" TargetMode="External"/><Relationship Id="rId1846" Type="http://schemas.openxmlformats.org/officeDocument/2006/relationships/hyperlink" Target="https://www.linkedin.com/learning/tailoring-project-delivery?trk=ondemandfile" TargetMode="External"/><Relationship Id="rId1847" Type="http://schemas.openxmlformats.org/officeDocument/2006/relationships/hyperlink" Target="https://www.linkedin.com/learning/hybrid-project-management-do-what-works?trk=ondemandfile" TargetMode="External"/><Relationship Id="rId1848" Type="http://schemas.openxmlformats.org/officeDocument/2006/relationships/hyperlink" Target="https://www.linkedin.com/learning/agile-project-management-with-microsoft-project-2021?trk=ondemandfile" TargetMode="External"/><Relationship Id="rId1849" Type="http://schemas.openxmlformats.org/officeDocument/2006/relationships/hyperlink" Target="https://www.linkedin.com/learning/project-management-technical-projects-2021?trk=ondemandfile" TargetMode="External"/><Relationship Id="rId1873" Type="http://schemas.openxmlformats.org/officeDocument/2006/relationships/hyperlink" Target="https://www.linkedin.com/learning/microsoft-dynamics-365-essential-training-2021?trk=ondemandfile" TargetMode="External"/><Relationship Id="rId1874" Type="http://schemas.openxmlformats.org/officeDocument/2006/relationships/hyperlink" Target="https://www.linkedin.com/learning/salesforce-essential-training?trk=ondemandfile" TargetMode="External"/><Relationship Id="rId1875" Type="http://schemas.openxmlformats.org/officeDocument/2006/relationships/hyperlink" Target="https://www.linkedin.com/learning/purpose-driven-sales-2021?trk=contentmappingfile" TargetMode="External"/><Relationship Id="rId1876" Type="http://schemas.openxmlformats.org/officeDocument/2006/relationships/hyperlink" Target="https://www.linkedin.com/learning/3-simple-steps-to-the-perfect-sales-pitch?trk=ondemandfile" TargetMode="External"/><Relationship Id="rId1877" Type="http://schemas.openxmlformats.org/officeDocument/2006/relationships/hyperlink" Target="https://www.linkedin.com/learning/sales-precall-prep-for-virtual-or-in-person-deals?trk=ondemandfile" TargetMode="External"/><Relationship Id="rId1878" Type="http://schemas.openxmlformats.org/officeDocument/2006/relationships/hyperlink" Target="https://www.linkedin.com/learning/inside-sales-2021?trk=ondemandfile" TargetMode="External"/><Relationship Id="rId1879" Type="http://schemas.openxmlformats.org/officeDocument/2006/relationships/hyperlink" Target="https://www.linkedin.com/learning/sales-strategies-and-approaches-in-a-new-world-of-selling?trk=ondemandfile" TargetMode="External"/><Relationship Id="rId1870" Type="http://schemas.openxmlformats.org/officeDocument/2006/relationships/hyperlink" Target="https://www.linkedin.com/learning/paths/develop-your-sales-knowledge-and-skills?trk=ondemandfile" TargetMode="External"/><Relationship Id="rId1871" Type="http://schemas.openxmlformats.org/officeDocument/2006/relationships/hyperlink" Target="https://www.linkedin.com/learning/the-neuroscience-of-selling-remotely?trk=ondemandfile" TargetMode="External"/><Relationship Id="rId1872" Type="http://schemas.openxmlformats.org/officeDocument/2006/relationships/hyperlink" Target="https://www.linkedin.com/learning/paths/succeeding-in-sales-during-times-of-volatility?trk=ondemandfile" TargetMode="External"/><Relationship Id="rId1862" Type="http://schemas.openxmlformats.org/officeDocument/2006/relationships/hyperlink" Target="https://www.linkedin.com/learning/paths/build-your-skills-in-customer-billing-support?trk=ondemandfile" TargetMode="External"/><Relationship Id="rId1863" Type="http://schemas.openxmlformats.org/officeDocument/2006/relationships/hyperlink" Target="https://www.linkedin.com/learning/sales-coaching-2021?trk=ondemandfile" TargetMode="External"/><Relationship Id="rId1864" Type="http://schemas.openxmlformats.org/officeDocument/2006/relationships/hyperlink" Target="https://www.linkedin.com/learning/paths/build-your-skills-in-sales-development?trk=ondemandfile" TargetMode="External"/><Relationship Id="rId1865" Type="http://schemas.openxmlformats.org/officeDocument/2006/relationships/hyperlink" Target="https://www.linkedin.com/learning/sales-management-foundations-2022?trk=ondemandfile" TargetMode="External"/><Relationship Id="rId1866" Type="http://schemas.openxmlformats.org/officeDocument/2006/relationships/hyperlink" Target="https://www.linkedin.com/learning/paths/create-a-successful-pitch-for-investors?trk=ondemandfile" TargetMode="External"/><Relationship Id="rId1867" Type="http://schemas.openxmlformats.org/officeDocument/2006/relationships/hyperlink" Target="https://www.linkedin.com/learning/sales-forecasting-2022?trk=ondemandfile" TargetMode="External"/><Relationship Id="rId1868" Type="http://schemas.openxmlformats.org/officeDocument/2006/relationships/hyperlink" Target="https://www.linkedin.com/learning/paths/develop-your-customer-service-skills?trk=ondemandfile" TargetMode="External"/><Relationship Id="rId1869" Type="http://schemas.openxmlformats.org/officeDocument/2006/relationships/hyperlink" Target="https://www.linkedin.com/learning/inside-sales-managing-sales-rep-personas?trk=ondemandfile" TargetMode="External"/><Relationship Id="rId1860" Type="http://schemas.openxmlformats.org/officeDocument/2006/relationships/hyperlink" Target="https://www.linkedin.com/learning/paths/become-a-retail-sales-associate?trk=ondemandfile" TargetMode="External"/><Relationship Id="rId1861" Type="http://schemas.openxmlformats.org/officeDocument/2006/relationships/hyperlink" Target="https://www.linkedin.com/learning/building-and-fostering-a-great-sales-culture?trk=ondemandfile" TargetMode="External"/><Relationship Id="rId1810" Type="http://schemas.openxmlformats.org/officeDocument/2006/relationships/hyperlink" Target="https://www.linkedin.com/learning/managing-project-stakeholders-2?trk=ondemandfile" TargetMode="External"/><Relationship Id="rId1811" Type="http://schemas.openxmlformats.org/officeDocument/2006/relationships/hyperlink" Target="https://www.linkedin.com/learning/transitioning-from-waterfall-to-agile-project-management-2019?trk=ondemandfile" TargetMode="External"/><Relationship Id="rId1812" Type="http://schemas.openxmlformats.org/officeDocument/2006/relationships/hyperlink" Target="https://www.linkedin.com/learning/construction-industry-safety?trk=ondemandfile" TargetMode="External"/><Relationship Id="rId1813" Type="http://schemas.openxmlformats.org/officeDocument/2006/relationships/hyperlink" Target="https://www.linkedin.com/learning/introduction-to-disciplined-agile?trk=ondemandfile" TargetMode="External"/><Relationship Id="rId1814" Type="http://schemas.openxmlformats.org/officeDocument/2006/relationships/hyperlink" Target="https://www.linkedin.com/learning/what-is-program-management?trk=ondemandfile" TargetMode="External"/><Relationship Id="rId1815" Type="http://schemas.openxmlformats.org/officeDocument/2006/relationships/hyperlink" Target="https://www.linkedin.com/learning/project-management-foundations-communication-2019?trk=ondemandfile" TargetMode="External"/><Relationship Id="rId1816" Type="http://schemas.openxmlformats.org/officeDocument/2006/relationships/hyperlink" Target="https://www.linkedin.com/learning/what-is-a-pmo?trk=ondemandfile" TargetMode="External"/><Relationship Id="rId1817" Type="http://schemas.openxmlformats.org/officeDocument/2006/relationships/hyperlink" Target="https://www.linkedin.com/learning/what-is-scrum?trk=ondemandfile" TargetMode="External"/><Relationship Id="rId1818" Type="http://schemas.openxmlformats.org/officeDocument/2006/relationships/hyperlink" Target="https://www.linkedin.com/learning/how-to-create-and-run-a-brilliant-remote-workshop?trk=ondemandfile" TargetMode="External"/><Relationship Id="rId1819" Type="http://schemas.openxmlformats.org/officeDocument/2006/relationships/hyperlink" Target="https://www.linkedin.com/learning/comparing-agile-versus-waterfall-project-management?trk=ondemandfile" TargetMode="External"/><Relationship Id="rId1800" Type="http://schemas.openxmlformats.org/officeDocument/2006/relationships/hyperlink" Target="https://www.linkedin.com/learning/agile-it-s-not-just-for-software?trk=ondemandfile" TargetMode="External"/><Relationship Id="rId1801" Type="http://schemas.openxmlformats.org/officeDocument/2006/relationships/hyperlink" Target="https://www.linkedin.com/learning/managing-projects-as-offices-reopen?trk=ondemandfile" TargetMode="External"/><Relationship Id="rId1802" Type="http://schemas.openxmlformats.org/officeDocument/2006/relationships/hyperlink" Target="https://www.linkedin.com/learning/mindfulness-a-critical-skill-for-project-managers?trk=ondemandfile" TargetMode="External"/><Relationship Id="rId1803" Type="http://schemas.openxmlformats.org/officeDocument/2006/relationships/hyperlink" Target="https://www.linkedin.com/learning/build-a-successful-career-in-project-management?trk=ondemandfile" TargetMode="External"/><Relationship Id="rId1804" Type="http://schemas.openxmlformats.org/officeDocument/2006/relationships/hyperlink" Target="https://www.linkedin.com/learning/project-management-fundamentals-for-non-project-managers?trk=ondemandfile" TargetMode="External"/><Relationship Id="rId1805" Type="http://schemas.openxmlformats.org/officeDocument/2006/relationships/hyperlink" Target="https://www.linkedin.com/learning/asking-effective-questions-during-requirements-elicitation?trk=ondemandfile" TargetMode="External"/><Relationship Id="rId1806" Type="http://schemas.openxmlformats.org/officeDocument/2006/relationships/hyperlink" Target="https://www.linkedin.com/learning/project-canvas-a-simple-framework-to-learn-project-management-fundamentals?trk=ondemandfile" TargetMode="External"/><Relationship Id="rId1807" Type="http://schemas.openxmlformats.org/officeDocument/2006/relationships/hyperlink" Target="https://www.linkedin.com/learning/transition-management-for-agile-environments?trk=ondemandfile" TargetMode="External"/><Relationship Id="rId1808" Type="http://schemas.openxmlformats.org/officeDocument/2006/relationships/hyperlink" Target="https://www.linkedin.com/learning/project-management-foundations-2019?trk=ondemandfile" TargetMode="External"/><Relationship Id="rId1809" Type="http://schemas.openxmlformats.org/officeDocument/2006/relationships/hyperlink" Target="https://www.linkedin.com/learning/product-management-tips?trk=ondemandfile" TargetMode="External"/><Relationship Id="rId1830" Type="http://schemas.openxmlformats.org/officeDocument/2006/relationships/hyperlink" Target="https://www.linkedin.com/learning/adaptive-project-leadership?trk=ondemandfile" TargetMode="External"/><Relationship Id="rId1831" Type="http://schemas.openxmlformats.org/officeDocument/2006/relationships/hyperlink" Target="https://www.linkedin.com/learning/blending-project-management-methods?trk=ondemandfile" TargetMode="External"/><Relationship Id="rId1832" Type="http://schemas.openxmlformats.org/officeDocument/2006/relationships/hyperlink" Target="https://www.linkedin.com/learning/9367b560-3855-3d38-9d9b-4ff0d83dd4d4?trk=ondemandfile" TargetMode="External"/><Relationship Id="rId1833" Type="http://schemas.openxmlformats.org/officeDocument/2006/relationships/hyperlink" Target="https://www.linkedin.com/learning/leading-projects?trk=ondemandfile" TargetMode="External"/><Relationship Id="rId1834" Type="http://schemas.openxmlformats.org/officeDocument/2006/relationships/hyperlink" Target="https://www.linkedin.com/learning/how-to-build-a-product-roadmap?trk=ondemandfile" TargetMode="External"/><Relationship Id="rId1835" Type="http://schemas.openxmlformats.org/officeDocument/2006/relationships/hyperlink" Target="https://www.linkedin.com/learning/project-management-foundations-budgets-2019?trk=ondemandfile" TargetMode="External"/><Relationship Id="rId1836" Type="http://schemas.openxmlformats.org/officeDocument/2006/relationships/hyperlink" Target="https://www.linkedin.com/learning/project-management-foundations-procurement-2?trk=ondemandfile" TargetMode="External"/><Relationship Id="rId1837" Type="http://schemas.openxmlformats.org/officeDocument/2006/relationships/hyperlink" Target="https://www.linkedin.com/learning/project-management-foundations-risk-2018?trk=ondemandfile" TargetMode="External"/><Relationship Id="rId1838" Type="http://schemas.openxmlformats.org/officeDocument/2006/relationships/hyperlink" Target="https://www.linkedin.com/learning/the-top-pmo-challenges?trk=ondemandfile" TargetMode="External"/><Relationship Id="rId1839" Type="http://schemas.openxmlformats.org/officeDocument/2006/relationships/hyperlink" Target="https://www.linkedin.com/learning/trello-for-agile-teams?trk=ondemandfile" TargetMode="External"/><Relationship Id="rId1820" Type="http://schemas.openxmlformats.org/officeDocument/2006/relationships/hyperlink" Target="https://www.linkedin.com/learning/linkedin-learning-highlights-project-management?trk=ondemandfile" TargetMode="External"/><Relationship Id="rId1821" Type="http://schemas.openxmlformats.org/officeDocument/2006/relationships/hyperlink" Target="https://www.linkedin.com/learning/emotional-intelligence-for-project-managers-blinkist-summary?trk=ondemandfile" TargetMode="External"/><Relationship Id="rId1822" Type="http://schemas.openxmlformats.org/officeDocument/2006/relationships/hyperlink" Target="https://www.linkedin.com/learning/gemba-kaizen-a-common-sense-approach-to-continuous-improvement-blinkist-summary?trk=ondemandfile" TargetMode="External"/><Relationship Id="rId1823" Type="http://schemas.openxmlformats.org/officeDocument/2006/relationships/hyperlink" Target="https://www.linkedin.com/learning/become-a-project-management-entrepreneur?trk=ondemandfile" TargetMode="External"/><Relationship Id="rId1824" Type="http://schemas.openxmlformats.org/officeDocument/2006/relationships/hyperlink" Target="https://www.linkedin.com/learning/managing-change-on-an-agile-project?trk=ondemandfile" TargetMode="External"/><Relationship Id="rId1825" Type="http://schemas.openxmlformats.org/officeDocument/2006/relationships/hyperlink" Target="https://www.linkedin.com/learning/why-projects-fail-and-how-to-improve-their-success?trk=contentmappingfile" TargetMode="External"/><Relationship Id="rId1826" Type="http://schemas.openxmlformats.org/officeDocument/2006/relationships/hyperlink" Target="https://www.linkedin.com/learning/change-management-with-limited-resources?trk=contentmappingfile" TargetMode="External"/><Relationship Id="rId1827" Type="http://schemas.openxmlformats.org/officeDocument/2006/relationships/hyperlink" Target="https://www.linkedin.com/learning/data-driven-project-management-project-metrics-that-matter?trk=contentmappingfile" TargetMode="External"/><Relationship Id="rId1828" Type="http://schemas.openxmlformats.org/officeDocument/2006/relationships/hyperlink" Target="https://www.linkedin.com/learning/how-to-successfully-lead-a-pmo?trk=ondemandfile" TargetMode="External"/><Relationship Id="rId1829" Type="http://schemas.openxmlformats.org/officeDocument/2006/relationships/hyperlink" Target="https://www.linkedin.com/learning/creating-a-program-strategy?trk=ondemandfile" TargetMode="External"/><Relationship Id="rId1455" Type="http://schemas.openxmlformats.org/officeDocument/2006/relationships/hyperlink" Target="https://www.linkedin.com/learning/key-mental-shifts-for-servant-leadership?trk=ondemandfile" TargetMode="External"/><Relationship Id="rId2302" Type="http://schemas.openxmlformats.org/officeDocument/2006/relationships/hyperlink" Target="https://www.linkedin.com/learning/paths/become-a-content-strategist-7?trk=ondemandfile" TargetMode="External"/><Relationship Id="rId1456" Type="http://schemas.openxmlformats.org/officeDocument/2006/relationships/hyperlink" Target="https://www.linkedin.com/learning/creating-a-culture-that-inspires-your-employees?trk=ondemandfile" TargetMode="External"/><Relationship Id="rId2303" Type="http://schemas.openxmlformats.org/officeDocument/2006/relationships/hyperlink" Target="https://www.linkedin.com/learning/writing-case-studies?trk=ondemandfile" TargetMode="External"/><Relationship Id="rId1457" Type="http://schemas.openxmlformats.org/officeDocument/2006/relationships/hyperlink" Target="https://www.linkedin.com/learning/developing-credibility-as-a-leader?trk=ondemandfile" TargetMode="External"/><Relationship Id="rId2304" Type="http://schemas.openxmlformats.org/officeDocument/2006/relationships/hyperlink" Target="https://www.linkedin.com/learning/paths/develop-your-writing-skills?trk=ondemandfile" TargetMode="External"/><Relationship Id="rId1458" Type="http://schemas.openxmlformats.org/officeDocument/2006/relationships/hyperlink" Target="https://www.linkedin.com/learning/leading-at-a-distance?trk=ondemandfile" TargetMode="External"/><Relationship Id="rId2305" Type="http://schemas.openxmlformats.org/officeDocument/2006/relationships/hyperlink" Target="https://www.linkedin.com/learning/writing-white-papers?trk=ondemandfile" TargetMode="External"/><Relationship Id="rId1459" Type="http://schemas.openxmlformats.org/officeDocument/2006/relationships/hyperlink" Target="https://www.linkedin.com/learning/leading-with-emotional-intelligence-2018?trk=ondemandfile" TargetMode="External"/><Relationship Id="rId2306" Type="http://schemas.openxmlformats.org/officeDocument/2006/relationships/hyperlink" Target="https://www.linkedin.com/learning/grammar-girl-s-quick-and-dirty-tips-for-better-writing?trk=ondemandfile" TargetMode="External"/><Relationship Id="rId2307" Type="http://schemas.openxmlformats.org/officeDocument/2006/relationships/hyperlink" Target="https://www.linkedin.com/learning/quick-tips-for-better-business-writing?trk=ondemandfile" TargetMode="External"/><Relationship Id="rId2308" Type="http://schemas.openxmlformats.org/officeDocument/2006/relationships/hyperlink" Target="https://www.linkedin.com/learning/writing-a-marketing-plan-2?trk=ondemandfile" TargetMode="External"/><Relationship Id="rId2309" Type="http://schemas.openxmlformats.org/officeDocument/2006/relationships/hyperlink" Target="https://www.linkedin.com/learning/writing-emails-people-want-to-read?trk=ondemandfile" TargetMode="External"/><Relationship Id="rId629" Type="http://schemas.openxmlformats.org/officeDocument/2006/relationships/hyperlink" Target="https://www.linkedin.com/learning/mapping-innovation-a-playbook-for-navigating-a-disruptive-age-getabstract-summary?trk=ondemandfile" TargetMode="External"/><Relationship Id="rId624" Type="http://schemas.openxmlformats.org/officeDocument/2006/relationships/hyperlink" Target="https://www.linkedin.com/learning/paths/fostering-innovation?trk=ondemandfile" TargetMode="External"/><Relationship Id="rId623" Type="http://schemas.openxmlformats.org/officeDocument/2006/relationships/hyperlink" Target="https://www.linkedin.com/learning/building-creative-organizations-2?trk=ondemandfile" TargetMode="External"/><Relationship Id="rId622" Type="http://schemas.openxmlformats.org/officeDocument/2006/relationships/hyperlink" Target="https://www.linkedin.com/learning/marketing-attribution-and-mix-modeling?trk=ondemandfile" TargetMode="External"/><Relationship Id="rId621" Type="http://schemas.openxmlformats.org/officeDocument/2006/relationships/hyperlink" Target="https://www.linkedin.com/learning/lead-generation-multi-channel-ppc-strategy?trk=ondemandfile" TargetMode="External"/><Relationship Id="rId628" Type="http://schemas.openxmlformats.org/officeDocument/2006/relationships/hyperlink" Target="https://www.linkedin.com/learning/paths/improve-your-creativity-skills?trk=ondemandfile" TargetMode="External"/><Relationship Id="rId627" Type="http://schemas.openxmlformats.org/officeDocument/2006/relationships/hyperlink" Target="https://www.linkedin.com/learning/leading-with-innovation?trk=ondemandfile" TargetMode="External"/><Relationship Id="rId626" Type="http://schemas.openxmlformats.org/officeDocument/2006/relationships/hyperlink" Target="https://www.linkedin.com/learning/paths/develop-your-creative-thinking-and-innovation-skills?trk=ondemandfile" TargetMode="External"/><Relationship Id="rId625" Type="http://schemas.openxmlformats.org/officeDocument/2006/relationships/hyperlink" Target="https://www.linkedin.com/learning/agile-software-development-creating-an-agile-culture?trk=ondemandfile" TargetMode="External"/><Relationship Id="rId1450" Type="http://schemas.openxmlformats.org/officeDocument/2006/relationships/hyperlink" Target="https://www.linkedin.com/learning/management-foundations-2019?trk=ondemandfile" TargetMode="External"/><Relationship Id="rId620" Type="http://schemas.openxmlformats.org/officeDocument/2006/relationships/hyperlink" Target="https://www.linkedin.com/learning/ar-marketing-strategies?trk=ondemandfile" TargetMode="External"/><Relationship Id="rId1451" Type="http://schemas.openxmlformats.org/officeDocument/2006/relationships/hyperlink" Target="https://www.linkedin.com/learning/implementing-continuous-impro-vement-a-case-study?trk=ondemandfile" TargetMode="External"/><Relationship Id="rId1452" Type="http://schemas.openxmlformats.org/officeDocument/2006/relationships/hyperlink" Target="https://www.linkedin.com/learning/culture-of-kaizen?trk=ondemandfile" TargetMode="External"/><Relationship Id="rId1453" Type="http://schemas.openxmlformats.org/officeDocument/2006/relationships/hyperlink" Target="https://www.linkedin.com/learning/developing-assertive-leadership?trk=ondemandfile" TargetMode="External"/><Relationship Id="rId2300" Type="http://schemas.openxmlformats.org/officeDocument/2006/relationships/hyperlink" Target="https://www.linkedin.com/learning/uncovering-unconscious-bias-in-recruiting-and-interviewing?trk=ondemandfile" TargetMode="External"/><Relationship Id="rId1454" Type="http://schemas.openxmlformats.org/officeDocument/2006/relationships/hyperlink" Target="https://www.linkedin.com/learning/leadership-fundamentals?trk=ondemandfile" TargetMode="External"/><Relationship Id="rId2301" Type="http://schemas.openxmlformats.org/officeDocument/2006/relationships/hyperlink" Target="https://www.linkedin.com/learning/editing-mastery-how-to-edit-writing-to-perfection?trk=ondemandfile" TargetMode="External"/><Relationship Id="rId1444" Type="http://schemas.openxmlformats.org/officeDocument/2006/relationships/hyperlink" Target="https://www.linkedin.com/learning/using-emotions-to-leverage-and-accelerate-change-a-guide-for-leaders?trk=ondemandfile" TargetMode="External"/><Relationship Id="rId1445" Type="http://schemas.openxmlformats.org/officeDocument/2006/relationships/hyperlink" Target="https://www.linkedin.com/learning/ken-blanchard-on-servant-leadership?trk=ondemandfile" TargetMode="External"/><Relationship Id="rId1446" Type="http://schemas.openxmlformats.org/officeDocument/2006/relationships/hyperlink" Target="https://www.linkedin.com/learning/emerging-leader-foundations?trk=ondemandfile" TargetMode="External"/><Relationship Id="rId1447" Type="http://schemas.openxmlformats.org/officeDocument/2006/relationships/hyperlink" Target="https://www.linkedin.com/learning/leadership-foundations-leadership-styles-and-models?trk=ondemandfile" TargetMode="External"/><Relationship Id="rId1448" Type="http://schemas.openxmlformats.org/officeDocument/2006/relationships/hyperlink" Target="https://www.linkedin.com/learning/leadership-practical-skills?trk=ondemandfile" TargetMode="External"/><Relationship Id="rId1449" Type="http://schemas.openxmlformats.org/officeDocument/2006/relationships/hyperlink" Target="https://www.linkedin.com/learning/leadership-foundations-4?trk=ondemandfile" TargetMode="External"/><Relationship Id="rId619" Type="http://schemas.openxmlformats.org/officeDocument/2006/relationships/hyperlink" Target="https://www.linkedin.com/learning/marketing-copywriting-for-social-media?trk=ondemandfile" TargetMode="External"/><Relationship Id="rId618" Type="http://schemas.openxmlformats.org/officeDocument/2006/relationships/hyperlink" Target="https://www.linkedin.com/learning/consumer-behavior-trends-meet-the-postmodern-consumer?trk=ondemandfile" TargetMode="External"/><Relationship Id="rId613" Type="http://schemas.openxmlformats.org/officeDocument/2006/relationships/hyperlink" Target="https://www.linkedin.com/learning/social-selling-reaching-prospects?trk=ondemandfile" TargetMode="External"/><Relationship Id="rId612" Type="http://schemas.openxmlformats.org/officeDocument/2006/relationships/hyperlink" Target="https://www.linkedin.com/learning/market-research-qualitative?trk=ondemandfile" TargetMode="External"/><Relationship Id="rId611" Type="http://schemas.openxmlformats.org/officeDocument/2006/relationships/hyperlink" Target="https://www.linkedin.com/learning/become-a-marketing-entrepreneur?trk=ondemandfile" TargetMode="External"/><Relationship Id="rId610" Type="http://schemas.openxmlformats.org/officeDocument/2006/relationships/hyperlink" Target="https://www.linkedin.com/learning/employer-branding-on-linkedin?trk=ondemandfile" TargetMode="External"/><Relationship Id="rId617" Type="http://schemas.openxmlformats.org/officeDocument/2006/relationships/hyperlink" Target="https://www.linkedin.com/learning/social-media-marketing-roi-2021?trk=ondemandfile" TargetMode="External"/><Relationship Id="rId616" Type="http://schemas.openxmlformats.org/officeDocument/2006/relationships/hyperlink" Target="https://www.linkedin.com/learning/advanced-branding-facelift-q1-2021?trk=ondemandfile" TargetMode="External"/><Relationship Id="rId615" Type="http://schemas.openxmlformats.org/officeDocument/2006/relationships/hyperlink" Target="https://www.linkedin.com/learning/remarketing-strategies-with-google-ads-and-analytics?trk=ondemandfile" TargetMode="External"/><Relationship Id="rId614" Type="http://schemas.openxmlformats.org/officeDocument/2006/relationships/hyperlink" Target="https://www.linkedin.com/learning/seo-ecommerce-strategies?trk=ondemandfile" TargetMode="External"/><Relationship Id="rId1440" Type="http://schemas.openxmlformats.org/officeDocument/2006/relationships/hyperlink" Target="https://www.linkedin.com/learning/taking-charge-of-your-leadership-conversations?trk=ondemandfile" TargetMode="External"/><Relationship Id="rId1441" Type="http://schemas.openxmlformats.org/officeDocument/2006/relationships/hyperlink" Target="https://www.linkedin.com/learning/executive-influence?trk=ondemandfile" TargetMode="External"/><Relationship Id="rId1442" Type="http://schemas.openxmlformats.org/officeDocument/2006/relationships/hyperlink" Target="https://www.linkedin.com/learning/leading-with-vision?trk=ondemandfile" TargetMode="External"/><Relationship Id="rId1443" Type="http://schemas.openxmlformats.org/officeDocument/2006/relationships/hyperlink" Target="https://www.linkedin.com/learning/sanyin-siang-on-strategic-mentoring?trk=ondemandfile" TargetMode="External"/><Relationship Id="rId1477" Type="http://schemas.openxmlformats.org/officeDocument/2006/relationships/hyperlink" Target="https://www.linkedin.com/learning/become-a-digital-nomad?trk=ondemandfile" TargetMode="External"/><Relationship Id="rId2324" Type="http://schemas.openxmlformats.org/officeDocument/2006/relationships/hyperlink" Target="https://www.linkedin.com/learning/writing-with-commonly-confused-words?trk=ondemandfile" TargetMode="External"/><Relationship Id="rId1478" Type="http://schemas.openxmlformats.org/officeDocument/2006/relationships/hyperlink" Target="https://www.linkedin.com/learning/conducting-motivational-1-on-1-reviews?trk=ondemandfile" TargetMode="External"/><Relationship Id="rId2325" Type="http://schemas.openxmlformats.org/officeDocument/2006/relationships/hyperlink" Target="https://www.linkedin.com/learning/sell-your-novel-to-a-major-publisher?trk=ondemandfile" TargetMode="External"/><Relationship Id="rId1479" Type="http://schemas.openxmlformats.org/officeDocument/2006/relationships/hyperlink" Target="https://www.linkedin.com/learning/jeff-weiner-on-how-to-lead-like-a-ceo?trk=ondemandfile" TargetMode="External"/><Relationship Id="rId2326" Type="http://schemas.openxmlformats.org/officeDocument/2006/relationships/hyperlink" Target="https://www.linkedin.com/learning/the-foundations-of-fiction?trk=ondemandfile" TargetMode="External"/><Relationship Id="rId2327" Type="http://schemas.openxmlformats.org/officeDocument/2006/relationships/hyperlink" Target="https://www.linkedin.com/learning/writing-and-delivering-speeches?trk=ondemandfile" TargetMode="External"/><Relationship Id="rId2328" Type="http://schemas.openxmlformats.org/officeDocument/2006/relationships/hyperlink" Target="https://www.linkedin.com/learning/cold-email-prospecting?trk=ondemandfile" TargetMode="External"/><Relationship Id="rId2329" Type="http://schemas.openxmlformats.org/officeDocument/2006/relationships/hyperlink" Target="https://www.linkedin.com/learning/ninja-writing-the-four-levels-of-writing-mastery?trk=ondemandfile" TargetMode="External"/><Relationship Id="rId646" Type="http://schemas.openxmlformats.org/officeDocument/2006/relationships/hyperlink" Target="https://www.linkedin.com/learning/creative-thinking?trk=ondemandfile" TargetMode="External"/><Relationship Id="rId645" Type="http://schemas.openxmlformats.org/officeDocument/2006/relationships/hyperlink" Target="https://www.linkedin.com/learning/developing-your-creativity-as-a-leader?trk=ondemandfile" TargetMode="External"/><Relationship Id="rId644" Type="http://schemas.openxmlformats.org/officeDocument/2006/relationships/hyperlink" Target="https://www.linkedin.com/learning/creative-thinking-strategies-for-leaders?trk=ondemandfile" TargetMode="External"/><Relationship Id="rId643" Type="http://schemas.openxmlformats.org/officeDocument/2006/relationships/hyperlink" Target="https://www.linkedin.com/learning/the-business-case-for-creativity?trk=ondemandfile" TargetMode="External"/><Relationship Id="rId649" Type="http://schemas.openxmlformats.org/officeDocument/2006/relationships/hyperlink" Target="https://www.linkedin.com/learning/the-five-step-creative-process?trk=ondemandfile" TargetMode="External"/><Relationship Id="rId648" Type="http://schemas.openxmlformats.org/officeDocument/2006/relationships/hyperlink" Target="https://www.linkedin.com/learning/boosting-your-team-s-creativity-and-green-lighting-ideas?trk=ondemandfile" TargetMode="External"/><Relationship Id="rId647" Type="http://schemas.openxmlformats.org/officeDocument/2006/relationships/hyperlink" Target="https://www.linkedin.com/learning/brainstorming-basics?trk=ondemandfile" TargetMode="External"/><Relationship Id="rId1470" Type="http://schemas.openxmlformats.org/officeDocument/2006/relationships/hyperlink" Target="https://www.linkedin.com/learning/compassionate-leadership?trk=ondemandfile" TargetMode="External"/><Relationship Id="rId1471" Type="http://schemas.openxmlformats.org/officeDocument/2006/relationships/hyperlink" Target="https://www.linkedin.com/learning/creative-thinking-strategies-for-leaders?trk=ondemandfile" TargetMode="External"/><Relationship Id="rId1472" Type="http://schemas.openxmlformats.org/officeDocument/2006/relationships/hyperlink" Target="https://www.linkedin.com/learning/leading-and-motivating-different-personalities?trk=ondemandfile" TargetMode="External"/><Relationship Id="rId642" Type="http://schemas.openxmlformats.org/officeDocument/2006/relationships/hyperlink" Target="https://www.linkedin.com/learning/using-questions-to-coach-and-lead?trk=ondemandfile" TargetMode="External"/><Relationship Id="rId1473" Type="http://schemas.openxmlformats.org/officeDocument/2006/relationships/hyperlink" Target="https://www.linkedin.com/learning/leading-in-the-moment?trk=ondemandfile" TargetMode="External"/><Relationship Id="rId2320" Type="http://schemas.openxmlformats.org/officeDocument/2006/relationships/hyperlink" Target="https://www.linkedin.com/learning/writing-fundamentals-the-craft-of-story?trk=ondemandfile" TargetMode="External"/><Relationship Id="rId641" Type="http://schemas.openxmlformats.org/officeDocument/2006/relationships/hyperlink" Target="https://www.linkedin.com/learning/unleash-your-team-s-creativity?trk=ondemandfile" TargetMode="External"/><Relationship Id="rId1474" Type="http://schemas.openxmlformats.org/officeDocument/2006/relationships/hyperlink" Target="https://www.linkedin.com/learning/coaching-virtually?trk=ondemandfile" TargetMode="External"/><Relationship Id="rId2321" Type="http://schemas.openxmlformats.org/officeDocument/2006/relationships/hyperlink" Target="https://www.linkedin.com/learning/conquering-writer-s-block?trk=ondemandfile" TargetMode="External"/><Relationship Id="rId640" Type="http://schemas.openxmlformats.org/officeDocument/2006/relationships/hyperlink" Target="https://www.linkedin.com/learning/strategic-focus-for-managers?trk=ondemandfile" TargetMode="External"/><Relationship Id="rId1475" Type="http://schemas.openxmlformats.org/officeDocument/2006/relationships/hyperlink" Target="https://www.linkedin.com/learning/body-language-for-leaders-2?trk=ondemandfile" TargetMode="External"/><Relationship Id="rId2322" Type="http://schemas.openxmlformats.org/officeDocument/2006/relationships/hyperlink" Target="https://www.linkedin.com/learning/running-a-design-business-writing-and-pricing-winning-proposals?trk=ondemandfile" TargetMode="External"/><Relationship Id="rId1476" Type="http://schemas.openxmlformats.org/officeDocument/2006/relationships/hyperlink" Target="https://www.linkedin.com/learning/the-secret-what-great-leaders-know-and-do-getabstract-summary?trk=ondemandfile" TargetMode="External"/><Relationship Id="rId2323" Type="http://schemas.openxmlformats.org/officeDocument/2006/relationships/hyperlink" Target="https://www.linkedin.com/learning/quick-tips-for-writing-business-emails?trk=ondemandfile" TargetMode="External"/><Relationship Id="rId1466" Type="http://schemas.openxmlformats.org/officeDocument/2006/relationships/hyperlink" Target="https://www.linkedin.com/learning/leading-through-relationships?trk=ondemandfile" TargetMode="External"/><Relationship Id="rId2313" Type="http://schemas.openxmlformats.org/officeDocument/2006/relationships/hyperlink" Target="https://www.linkedin.com/learning/writing-a-tech-resume?trk=ondemandfile" TargetMode="External"/><Relationship Id="rId1467" Type="http://schemas.openxmlformats.org/officeDocument/2006/relationships/hyperlink" Target="https://www.linkedin.com/learning/business-ethics-for-managers-and-leaders?trk=ondemandfile" TargetMode="External"/><Relationship Id="rId2314" Type="http://schemas.openxmlformats.org/officeDocument/2006/relationships/hyperlink" Target="https://www.linkedin.com/learning/writing-in-plain-language?trk=ondemandfile" TargetMode="External"/><Relationship Id="rId1468" Type="http://schemas.openxmlformats.org/officeDocument/2006/relationships/hyperlink" Target="https://www.linkedin.com/learning/lessons-in-enlightened-leadership?trk=ondemandfile" TargetMode="External"/><Relationship Id="rId2315" Type="http://schemas.openxmlformats.org/officeDocument/2006/relationships/hyperlink" Target="https://www.linkedin.com/learning/productivity-hacks-for-writers?trk=ondemandfile" TargetMode="External"/><Relationship Id="rId1469" Type="http://schemas.openxmlformats.org/officeDocument/2006/relationships/hyperlink" Target="https://www.linkedin.com/learning/having-career-conversations-with-your-team?trk=ondemandfile" TargetMode="External"/><Relationship Id="rId2316" Type="http://schemas.openxmlformats.org/officeDocument/2006/relationships/hyperlink" Target="https://www.linkedin.com/learning/writing-a-compelling-blog-post?trk=ondemandfile" TargetMode="External"/><Relationship Id="rId2317" Type="http://schemas.openxmlformats.org/officeDocument/2006/relationships/hyperlink" Target="https://www.linkedin.com/learning/writing-formal-business-letters-and-emails?trk=ondemandfile" TargetMode="External"/><Relationship Id="rId2318" Type="http://schemas.openxmlformats.org/officeDocument/2006/relationships/hyperlink" Target="https://www.linkedin.com/learning/writing-with-flair-how-to-become-an-exceptional-writer?trk=ondemandfile" TargetMode="External"/><Relationship Id="rId2319" Type="http://schemas.openxmlformats.org/officeDocument/2006/relationships/hyperlink" Target="https://www.linkedin.com/learning/writing-with-impact?trk=ondemandfile" TargetMode="External"/><Relationship Id="rId635" Type="http://schemas.openxmlformats.org/officeDocument/2006/relationships/hyperlink" Target="https://www.linkedin.com/learning/service-innovation?trk=ondemandfile" TargetMode="External"/><Relationship Id="rId634" Type="http://schemas.openxmlformats.org/officeDocument/2006/relationships/hyperlink" Target="https://www.linkedin.com/learning/paths/working-with-creatives-2?trk=ondemandfile" TargetMode="External"/><Relationship Id="rId633" Type="http://schemas.openxmlformats.org/officeDocument/2006/relationships/hyperlink" Target="https://www.linkedin.com/learning/lean-technology-strategy-managing-the-innovation-portfolio?trk=ondemandfile" TargetMode="External"/><Relationship Id="rId632" Type="http://schemas.openxmlformats.org/officeDocument/2006/relationships/hyperlink" Target="https://www.linkedin.com/learning/paths/stay-competitive-using-design-thinking?trk=ondemandfile" TargetMode="External"/><Relationship Id="rId639" Type="http://schemas.openxmlformats.org/officeDocument/2006/relationships/hyperlink" Target="https://www.linkedin.com/learning/balancing-innovation-and-risk?trk=ondemandfile" TargetMode="External"/><Relationship Id="rId638" Type="http://schemas.openxmlformats.org/officeDocument/2006/relationships/hyperlink" Target="https://www.linkedin.com/learning/futures-centered-design?trk=ondemandfile" TargetMode="External"/><Relationship Id="rId637" Type="http://schemas.openxmlformats.org/officeDocument/2006/relationships/hyperlink" Target="https://www.linkedin.com/learning/executing-on-innovation-a-process-that-scales?trk=ondemandfile" TargetMode="External"/><Relationship Id="rId636" Type="http://schemas.openxmlformats.org/officeDocument/2006/relationships/hyperlink" Target="https://www.linkedin.com/learning/innovating-out-of-crisis?trk=ondemandfile" TargetMode="External"/><Relationship Id="rId1460" Type="http://schemas.openxmlformats.org/officeDocument/2006/relationships/hyperlink" Target="https://www.linkedin.com/learning/leading-with-stories-2?trk=ondemandfile" TargetMode="External"/><Relationship Id="rId1461" Type="http://schemas.openxmlformats.org/officeDocument/2006/relationships/hyperlink" Target="https://www.linkedin.com/learning/coaching-skills-for-leaders-and-managers?trk=ondemandfile" TargetMode="External"/><Relationship Id="rId631" Type="http://schemas.openxmlformats.org/officeDocument/2006/relationships/hyperlink" Target="https://www.linkedin.com/learning/built-to-last-successful-habits-of-visionary-companies?trk=ondemandfile" TargetMode="External"/><Relationship Id="rId1462" Type="http://schemas.openxmlformats.org/officeDocument/2006/relationships/hyperlink" Target="https://www.linkedin.com/learning/lead-like-a-boss?trk=ondemandfile" TargetMode="External"/><Relationship Id="rId630" Type="http://schemas.openxmlformats.org/officeDocument/2006/relationships/hyperlink" Target="https://www.linkedin.com/learning/paths/improve-your-problem-solving-skills?trk=ondemandfile" TargetMode="External"/><Relationship Id="rId1463" Type="http://schemas.openxmlformats.org/officeDocument/2006/relationships/hyperlink" Target="https://www.linkedin.com/learning/leading-and-working-in-teams?trk=ondemandfile" TargetMode="External"/><Relationship Id="rId2310" Type="http://schemas.openxmlformats.org/officeDocument/2006/relationships/hyperlink" Target="https://www.linkedin.com/learning/is-there-a-book-in-you-learn-to-create-your-own-masterpiece?trk=ondemandfile" TargetMode="External"/><Relationship Id="rId1464" Type="http://schemas.openxmlformats.org/officeDocument/2006/relationships/hyperlink" Target="https://www.linkedin.com/learning/leading-effectively?trk=ondemandfile" TargetMode="External"/><Relationship Id="rId2311" Type="http://schemas.openxmlformats.org/officeDocument/2006/relationships/hyperlink" Target="https://www.linkedin.com/learning/technical-writing-quick-start-guides?trk=ondemandfile" TargetMode="External"/><Relationship Id="rId1465" Type="http://schemas.openxmlformats.org/officeDocument/2006/relationships/hyperlink" Target="https://www.linkedin.com/learning/leading-a-marketing-team?trk=ondemandfile" TargetMode="External"/><Relationship Id="rId2312" Type="http://schemas.openxmlformats.org/officeDocument/2006/relationships/hyperlink" Target="https://www.linkedin.com/learning/writing-articles-2?trk=ondemandfile" TargetMode="External"/><Relationship Id="rId1411" Type="http://schemas.openxmlformats.org/officeDocument/2006/relationships/hyperlink" Target="https://www.linkedin.com/learning/leading-with-innovation?trk=ondemandfile" TargetMode="External"/><Relationship Id="rId1895" Type="http://schemas.openxmlformats.org/officeDocument/2006/relationships/hyperlink" Target="https://www.linkedin.com/learning/creating-your-sales-process-2?trk=ondemandfile" TargetMode="External"/><Relationship Id="rId1412" Type="http://schemas.openxmlformats.org/officeDocument/2006/relationships/hyperlink" Target="https://www.linkedin.com/learning/paths/become-a-thought-leader?trk=ondemandfile" TargetMode="External"/><Relationship Id="rId1896" Type="http://schemas.openxmlformats.org/officeDocument/2006/relationships/hyperlink" Target="https://www.linkedin.com/learning/sales-fundamentals?trk=ondemandfile" TargetMode="External"/><Relationship Id="rId1413" Type="http://schemas.openxmlformats.org/officeDocument/2006/relationships/hyperlink" Target="https://www.linkedin.com/learning/inclusive-leadership?trk=ondemandfile" TargetMode="External"/><Relationship Id="rId1897" Type="http://schemas.openxmlformats.org/officeDocument/2006/relationships/hyperlink" Target="https://www.linkedin.com/learning/cold-calling-overcoming-sales-objections?trk=ondemandfile" TargetMode="External"/><Relationship Id="rId1414" Type="http://schemas.openxmlformats.org/officeDocument/2006/relationships/hyperlink" Target="https://www.linkedin.com/learning/paths/diversity-inclusion-and-belonging-for-leaders-and-managers?trk=ondemandfile" TargetMode="External"/><Relationship Id="rId1898" Type="http://schemas.openxmlformats.org/officeDocument/2006/relationships/hyperlink" Target="https://www.linkedin.com/learning/selling-while-human?trk=ondemandfile" TargetMode="External"/><Relationship Id="rId1415" Type="http://schemas.openxmlformats.org/officeDocument/2006/relationships/hyperlink" Target="https://www.linkedin.com/learning/doing-good-to-build-a-profitable-business?trk=ondemandfile" TargetMode="External"/><Relationship Id="rId1899" Type="http://schemas.openxmlformats.org/officeDocument/2006/relationships/hyperlink" Target="https://www.linkedin.com/learning/jeffrey-gitomer-s-little-red-book-of-sales-answers-getabstract-summary?trk=ondemandfile" TargetMode="External"/><Relationship Id="rId1416" Type="http://schemas.openxmlformats.org/officeDocument/2006/relationships/hyperlink" Target="https://www.linkedin.com/learning/paths/leading-others-effectively?trk=ondemandfile" TargetMode="External"/><Relationship Id="rId1417" Type="http://schemas.openxmlformats.org/officeDocument/2006/relationships/hyperlink" Target="https://www.linkedin.com/learning/good-to-great?trk=ondemandfile" TargetMode="External"/><Relationship Id="rId1418" Type="http://schemas.openxmlformats.org/officeDocument/2006/relationships/hyperlink" Target="https://www.linkedin.com/learning/paths/linkedin-manager-to-leader?trk=ondemandfile" TargetMode="External"/><Relationship Id="rId1419" Type="http://schemas.openxmlformats.org/officeDocument/2006/relationships/hyperlink" Target="https://www.linkedin.com/learning/lean-technology-strategy-purposeful-organizations?trk=ondemandfile" TargetMode="External"/><Relationship Id="rId1890" Type="http://schemas.openxmlformats.org/officeDocument/2006/relationships/hyperlink" Target="https://www.linkedin.com/learning/onboarding-and-adoption-best-practices-for-customer-success-management?trk=ondemandfile" TargetMode="External"/><Relationship Id="rId1891" Type="http://schemas.openxmlformats.org/officeDocument/2006/relationships/hyperlink" Target="https://www.linkedin.com/learning/business-analytics-sales-data?trk=ondemandfile" TargetMode="External"/><Relationship Id="rId1892" Type="http://schemas.openxmlformats.org/officeDocument/2006/relationships/hyperlink" Target="https://www.linkedin.com/learning/cold-calling-mastery?trk=ondemandfile" TargetMode="External"/><Relationship Id="rId1893" Type="http://schemas.openxmlformats.org/officeDocument/2006/relationships/hyperlink" Target="https://www.linkedin.com/learning/prepare-yourself-for-a-career-in-sales-2?trk=ondemandfile" TargetMode="External"/><Relationship Id="rId1410" Type="http://schemas.openxmlformats.org/officeDocument/2006/relationships/hyperlink" Target="https://www.linkedin.com/learning/paths/become-a-leader?trk=ondemandfile" TargetMode="External"/><Relationship Id="rId1894" Type="http://schemas.openxmlformats.org/officeDocument/2006/relationships/hyperlink" Target="https://www.linkedin.com/learning/engagement-preparation-best-practices-for-customer-success-management?trk=ondemandfile" TargetMode="External"/><Relationship Id="rId1400" Type="http://schemas.openxmlformats.org/officeDocument/2006/relationships/hyperlink" Target="https://www.linkedin.com/learning/mastering-self-leadership?trk=ondemandfile" TargetMode="External"/><Relationship Id="rId1884" Type="http://schemas.openxmlformats.org/officeDocument/2006/relationships/hyperlink" Target="https://www.linkedin.com/learning/following-up-after-a-sales-meeting?trk=ondemandfile" TargetMode="External"/><Relationship Id="rId1401" Type="http://schemas.openxmlformats.org/officeDocument/2006/relationships/hyperlink" Target="https://www.linkedin.com/learning/preparing-yourself-for-change?trk=ondemandfile" TargetMode="External"/><Relationship Id="rId1885" Type="http://schemas.openxmlformats.org/officeDocument/2006/relationships/hyperlink" Target="https://www.linkedin.com/learning/sales-discovery?trk=ondemandfile" TargetMode="External"/><Relationship Id="rId1402" Type="http://schemas.openxmlformats.org/officeDocument/2006/relationships/hyperlink" Target="https://www.linkedin.com/learning/change-management-plan-on-a-page?trk=ondemandfile" TargetMode="External"/><Relationship Id="rId1886" Type="http://schemas.openxmlformats.org/officeDocument/2006/relationships/hyperlink" Target="https://www.linkedin.com/learning/social-selling-foundations-2?trk=ondemandfile" TargetMode="External"/><Relationship Id="rId1403" Type="http://schemas.openxmlformats.org/officeDocument/2006/relationships/hyperlink" Target="https://www.linkedin.com/learning/change-management-roadmap-to-execution?trk=ondemandfile" TargetMode="External"/><Relationship Id="rId1887" Type="http://schemas.openxmlformats.org/officeDocument/2006/relationships/hyperlink" Target="https://www.linkedin.com/learning/customer-success-management-fundamentals?trk=ondemandfile" TargetMode="External"/><Relationship Id="rId1404" Type="http://schemas.openxmlformats.org/officeDocument/2006/relationships/hyperlink" Target="https://www.linkedin.com/learning/how-to-be-more-inclusive?trk=ondemandfile" TargetMode="External"/><Relationship Id="rId1888" Type="http://schemas.openxmlformats.org/officeDocument/2006/relationships/hyperlink" Target="https://www.linkedin.com/learning/value-realization-best-practices-for-customer-success-management?trk=ondemandfile" TargetMode="External"/><Relationship Id="rId1405" Type="http://schemas.openxmlformats.org/officeDocument/2006/relationships/hyperlink" Target="https://www.linkedin.com/learning/privacy-for-executives?trk=ondemandfile" TargetMode="External"/><Relationship Id="rId1889" Type="http://schemas.openxmlformats.org/officeDocument/2006/relationships/hyperlink" Target="https://www.linkedin.com/learning/avoiding-common-pitfalls-in-customer-success-management?trk=ondemandfile" TargetMode="External"/><Relationship Id="rId1406" Type="http://schemas.openxmlformats.org/officeDocument/2006/relationships/hyperlink" Target="https://www.linkedin.com/learning/paths/build-a-company-learning-and-development-program?trk=ondemandfile" TargetMode="External"/><Relationship Id="rId1407" Type="http://schemas.openxmlformats.org/officeDocument/2006/relationships/hyperlink" Target="https://www.linkedin.com/learning/ryan-holmes-on-social-leadership?trk=ondemandfile" TargetMode="External"/><Relationship Id="rId1408" Type="http://schemas.openxmlformats.org/officeDocument/2006/relationships/hyperlink" Target="https://www.linkedin.com/learning/paths/become-an-inclusive-leader?trk=ondemandfile" TargetMode="External"/><Relationship Id="rId1409" Type="http://schemas.openxmlformats.org/officeDocument/2006/relationships/hyperlink" Target="https://www.linkedin.com/learning/leadership-stories-5-minute-lessons-in-leading-people?trk=ondemandfile" TargetMode="External"/><Relationship Id="rId1880" Type="http://schemas.openxmlformats.org/officeDocument/2006/relationships/hyperlink" Target="https://www.linkedin.com/learning/inclusive-selling-selling-across-culture-race-and-gender-differences?trk=ondemandfile" TargetMode="External"/><Relationship Id="rId1881" Type="http://schemas.openxmlformats.org/officeDocument/2006/relationships/hyperlink" Target="https://www.linkedin.com/learning/delivering-a-great-sales-pitch?trk=ondemandfile" TargetMode="External"/><Relationship Id="rId1882" Type="http://schemas.openxmlformats.org/officeDocument/2006/relationships/hyperlink" Target="https://www.linkedin.com/learning/sales-foundations?trk=ondemandfile" TargetMode="External"/><Relationship Id="rId1883" Type="http://schemas.openxmlformats.org/officeDocument/2006/relationships/hyperlink" Target="https://www.linkedin.com/learning/networking-for-sales-professionals?trk=ondemandfile" TargetMode="External"/><Relationship Id="rId1433" Type="http://schemas.openxmlformats.org/officeDocument/2006/relationships/hyperlink" Target="https://www.linkedin.com/learning/executive-decision-making?trk=ondemandfile" TargetMode="External"/><Relationship Id="rId1434" Type="http://schemas.openxmlformats.org/officeDocument/2006/relationships/hyperlink" Target="https://www.linkedin.com/learning/executive-leadership?trk=ondemandfile" TargetMode="External"/><Relationship Id="rId1435" Type="http://schemas.openxmlformats.org/officeDocument/2006/relationships/hyperlink" Target="https://www.linkedin.com/learning/human-centered-leadership?trk=ondemandfile" TargetMode="External"/><Relationship Id="rId1436" Type="http://schemas.openxmlformats.org/officeDocument/2006/relationships/hyperlink" Target="https://www.linkedin.com/learning/building-resilience-as-a-leader?trk=ondemandfile" TargetMode="External"/><Relationship Id="rId1437" Type="http://schemas.openxmlformats.org/officeDocument/2006/relationships/hyperlink" Target="https://www.linkedin.com/learning/leading-with-purpose?trk=ondemandfile" TargetMode="External"/><Relationship Id="rId1438" Type="http://schemas.openxmlformats.org/officeDocument/2006/relationships/hyperlink" Target="https://www.linkedin.com/learning/navigating-executive-politics?trk=ondemandfile" TargetMode="External"/><Relationship Id="rId1439" Type="http://schemas.openxmlformats.org/officeDocument/2006/relationships/hyperlink" Target="https://www.linkedin.com/learning/leading-with-values?trk=ondemandfile" TargetMode="External"/><Relationship Id="rId609" Type="http://schemas.openxmlformats.org/officeDocument/2006/relationships/hyperlink" Target="https://www.linkedin.com/learning/17-questions-to-help-improve-your-marketing?trk=ondemandfile" TargetMode="External"/><Relationship Id="rId608" Type="http://schemas.openxmlformats.org/officeDocument/2006/relationships/hyperlink" Target="https://www.linkedin.com/learning/python-for-marketing?trk=ondemandfile" TargetMode="External"/><Relationship Id="rId607" Type="http://schemas.openxmlformats.org/officeDocument/2006/relationships/hyperlink" Target="https://www.linkedin.com/learning/aligning-sales-and-marketing?trk=ondemandfile" TargetMode="External"/><Relationship Id="rId602" Type="http://schemas.openxmlformats.org/officeDocument/2006/relationships/hyperlink" Target="https://www.linkedin.com/learning/growth-hacking-tips-2?trk=ondemandfile" TargetMode="External"/><Relationship Id="rId601" Type="http://schemas.openxmlformats.org/officeDocument/2006/relationships/hyperlink" Target="https://www.linkedin.com/learning/create-a-go-to-market-plan-2?trk=ondemandfile" TargetMode="External"/><Relationship Id="rId600" Type="http://schemas.openxmlformats.org/officeDocument/2006/relationships/hyperlink" Target="https://www.linkedin.com/learning/advertising-on-youtube?trk=ondemandfile" TargetMode="External"/><Relationship Id="rId606" Type="http://schemas.openxmlformats.org/officeDocument/2006/relationships/hyperlink" Target="https://www.linkedin.com/learning/seo-videos-2020?trk=ondemandfile" TargetMode="External"/><Relationship Id="rId605" Type="http://schemas.openxmlformats.org/officeDocument/2006/relationships/hyperlink" Target="https://www.linkedin.com/learning/seo-keyword-stra-tegy-2020?trk=ondemandfile" TargetMode="External"/><Relationship Id="rId604" Type="http://schemas.openxmlformats.org/officeDocument/2006/relationships/hyperlink" Target="https://www.linkedin.com/learning/social-media-marketing-optimization-2?trk=ondemandfile" TargetMode="External"/><Relationship Id="rId603" Type="http://schemas.openxmlformats.org/officeDocument/2006/relationships/hyperlink" Target="https://www.linkedin.com/learning/improve-seo-for-your-ecommerce-site?trk=ondemandfile" TargetMode="External"/><Relationship Id="rId1430" Type="http://schemas.openxmlformats.org/officeDocument/2006/relationships/hyperlink" Target="https://www.linkedin.com/learning/transformational-leadership?trk=ondemandfile" TargetMode="External"/><Relationship Id="rId1431" Type="http://schemas.openxmlformats.org/officeDocument/2006/relationships/hyperlink" Target="https://www.linkedin.com/learning/hr-and-digital-transformation?trk=ondemandfile" TargetMode="External"/><Relationship Id="rId1432" Type="http://schemas.openxmlformats.org/officeDocument/2006/relationships/hyperlink" Target="https://www.linkedin.com/learning/collaborative-leadership?trk=ondemandfile" TargetMode="External"/><Relationship Id="rId1422" Type="http://schemas.openxmlformats.org/officeDocument/2006/relationships/hyperlink" Target="https://www.linkedin.com/learning/paths/remote-working-setting-yourself-and-your-teams-up-for-success?trk=ondemandfile" TargetMode="External"/><Relationship Id="rId1423" Type="http://schemas.openxmlformats.org/officeDocument/2006/relationships/hyperlink" Target="https://www.linkedin.com/learning/leading-change-2018?trk=ondemandfile" TargetMode="External"/><Relationship Id="rId1424" Type="http://schemas.openxmlformats.org/officeDocument/2006/relationships/hyperlink" Target="https://www.linkedin.com/learning/vision-in-action-leaders-live-case-studies?trk=ondemandfile" TargetMode="External"/><Relationship Id="rId1425" Type="http://schemas.openxmlformats.org/officeDocument/2006/relationships/hyperlink" Target="https://www.linkedin.com/learning/leading-the-organization-monthly?trk=ondemandfile" TargetMode="External"/><Relationship Id="rId1426" Type="http://schemas.openxmlformats.org/officeDocument/2006/relationships/hyperlink" Target="https://www.linkedin.com/learning/cmo-foundations-working-with-leadership-and-board-of-directors?trk=ondemandfile" TargetMode="External"/><Relationship Id="rId1427" Type="http://schemas.openxmlformats.org/officeDocument/2006/relationships/hyperlink" Target="https://www.linkedin.com/learning/leading-organizations-ten-timeless-truths-getabstract-summary?trk=ondemandfile" TargetMode="External"/><Relationship Id="rId1428" Type="http://schemas.openxmlformats.org/officeDocument/2006/relationships/hyperlink" Target="https://www.linkedin.com/learning/the-7-secrets-of-responsive-leadership-getabstract-summary?trk=ondemandfile" TargetMode="External"/><Relationship Id="rId1429" Type="http://schemas.openxmlformats.org/officeDocument/2006/relationships/hyperlink" Target="https://www.linkedin.com/learning/transition-from-manager-to-leader?trk=ondemandfile" TargetMode="External"/><Relationship Id="rId1420" Type="http://schemas.openxmlformats.org/officeDocument/2006/relationships/hyperlink" Target="https://www.linkedin.com/learning/paths/master-in-demand-skills-for-technology-leadership?trk=ondemandfile" TargetMode="External"/><Relationship Id="rId1421" Type="http://schemas.openxmlformats.org/officeDocument/2006/relationships/hyperlink" Target="https://www.linkedin.com/learning/counterintuitive-leadership-strategies-for-a-vuca-environment?trk=ondemandfile" TargetMode="External"/><Relationship Id="rId1059" Type="http://schemas.openxmlformats.org/officeDocument/2006/relationships/hyperlink" Target="https://www.linkedin.com/learning/the-business-of-accounting?trk=ondemandfile" TargetMode="External"/><Relationship Id="rId228" Type="http://schemas.openxmlformats.org/officeDocument/2006/relationships/hyperlink" Target="https://www.linkedin.com/learning/paths/improve-your-teamwork-skills?trk=ondemandfile" TargetMode="External"/><Relationship Id="rId227" Type="http://schemas.openxmlformats.org/officeDocument/2006/relationships/hyperlink" Target="https://www.linkedin.com/learning/leading-together-coleading-a-project-team-or-organization?trk=ondemandfile" TargetMode="External"/><Relationship Id="rId226" Type="http://schemas.openxmlformats.org/officeDocument/2006/relationships/hyperlink" Target="https://www.linkedin.com/learning/paths/fostering-collaboration?trk=ondemandfile" TargetMode="External"/><Relationship Id="rId225" Type="http://schemas.openxmlformats.org/officeDocument/2006/relationships/hyperlink" Target="https://www.linkedin.com/learning/communicating-values?trk=ondemandfile" TargetMode="External"/><Relationship Id="rId2380" Type="http://schemas.openxmlformats.org/officeDocument/2006/relationships/hyperlink" Target="https://www.linkedin.com/learning/mindful-stress-management?trk=ondemandfile" TargetMode="External"/><Relationship Id="rId229" Type="http://schemas.openxmlformats.org/officeDocument/2006/relationships/hyperlink" Target="https://www.linkedin.com/learning/humble-leadership-the-power-of-relationships-openness-and-trust-getabstract-summary?trk=ondemandfile" TargetMode="External"/><Relationship Id="rId1050" Type="http://schemas.openxmlformats.org/officeDocument/2006/relationships/hyperlink" Target="https://www.linkedin.com/learning/business-investment-analysis?trk=ondemandfile" TargetMode="External"/><Relationship Id="rId2381" Type="http://schemas.openxmlformats.org/officeDocument/2006/relationships/hyperlink" Target="https://www.linkedin.com/learning/introduction-to-gratitude-meditation?trk=ondemandfile" TargetMode="External"/><Relationship Id="rId220" Type="http://schemas.openxmlformats.org/officeDocument/2006/relationships/hyperlink" Target="https://www.linkedin.com/learning/paths/become-an-inclusive-leader?trk=ondemandfile" TargetMode="External"/><Relationship Id="rId1051" Type="http://schemas.openxmlformats.org/officeDocument/2006/relationships/hyperlink" Target="https://www.linkedin.com/learning/ai-in-fintech-essential-training?trk=ondemandfile" TargetMode="External"/><Relationship Id="rId2382" Type="http://schemas.openxmlformats.org/officeDocument/2006/relationships/hyperlink" Target="https://www.linkedin.com/learning/introduction-to-mind-like-sky-meditation?trk=ondemandfile" TargetMode="External"/><Relationship Id="rId1052" Type="http://schemas.openxmlformats.org/officeDocument/2006/relationships/hyperlink" Target="https://www.linkedin.com/learning/accounting-foundations-cost-based-pricing-strategies?trk=ondemandfile" TargetMode="External"/><Relationship Id="rId2383" Type="http://schemas.openxmlformats.org/officeDocument/2006/relationships/hyperlink" Target="https://www.linkedin.com/learning/introduction-to-loving-kindness-meditation?trk=ondemandfile" TargetMode="External"/><Relationship Id="rId1053" Type="http://schemas.openxmlformats.org/officeDocument/2006/relationships/hyperlink" Target="https://www.linkedin.com/learning/economics-for-business-leaders?trk=ondemandfile" TargetMode="External"/><Relationship Id="rId2384" Type="http://schemas.openxmlformats.org/officeDocument/2006/relationships/hyperlink" Target="https://www.linkedin.com/learning/introduction-to-forgiveness-meditation?trk=ondemandfile" TargetMode="External"/><Relationship Id="rId1054" Type="http://schemas.openxmlformats.org/officeDocument/2006/relationships/hyperlink" Target="https://www.linkedin.com/learning/accounting-foundations-global-finance-accounting?trk=ondemandfile" TargetMode="External"/><Relationship Id="rId2385" Type="http://schemas.openxmlformats.org/officeDocument/2006/relationships/hyperlink" Target="https://www.linkedin.com/learning/introduction-to-visualization-meditation?trk=ondemandfile" TargetMode="External"/><Relationship Id="rId224" Type="http://schemas.openxmlformats.org/officeDocument/2006/relationships/hyperlink" Target="https://www.linkedin.com/learning/paths/digital-transformation-in-practice-virtual-collaboration-tools?trk=ondemandfile" TargetMode="External"/><Relationship Id="rId1055" Type="http://schemas.openxmlformats.org/officeDocument/2006/relationships/hyperlink" Target="https://www.linkedin.com/learning/audit-and-due-diligence-priorities-and-best-practices?trk=ondemandfile" TargetMode="External"/><Relationship Id="rId2386" Type="http://schemas.openxmlformats.org/officeDocument/2006/relationships/hyperlink" Target="https://www.linkedin.com/learning/mindful-leadership?trk=ondemandfile" TargetMode="External"/><Relationship Id="rId223" Type="http://schemas.openxmlformats.org/officeDocument/2006/relationships/hyperlink" Target="https://www.linkedin.com/learning/employee-experience?trk=ondemandfile" TargetMode="External"/><Relationship Id="rId1056" Type="http://schemas.openxmlformats.org/officeDocument/2006/relationships/hyperlink" Target="https://www.linkedin.com/learning/excel-modeling-tips-and-tricks?trk=ondemandfile" TargetMode="External"/><Relationship Id="rId2387" Type="http://schemas.openxmlformats.org/officeDocument/2006/relationships/hyperlink" Target="https://www.linkedin.com/learning/creating-flow?trk=ondemandfile" TargetMode="External"/><Relationship Id="rId222" Type="http://schemas.openxmlformats.org/officeDocument/2006/relationships/hyperlink" Target="https://www.linkedin.com/learning/paths/building-trust-and-collaborating-with-others-2?trk=ondemandfile" TargetMode="External"/><Relationship Id="rId1057" Type="http://schemas.openxmlformats.org/officeDocument/2006/relationships/hyperlink" Target="https://www.linkedin.com/learning/the-future-of-audit?trk=ondemandfile" TargetMode="External"/><Relationship Id="rId2388" Type="http://schemas.openxmlformats.org/officeDocument/2006/relationships/hyperlink" Target="https://www.linkedin.com/learning/overcoming-rejection?trk=ondemandfile" TargetMode="External"/><Relationship Id="rId221" Type="http://schemas.openxmlformats.org/officeDocument/2006/relationships/hyperlink" Target="https://www.linkedin.com/learning/reid-hoffman-and-chris-yeh-on-creating-an-alliance-with-employees?trk=ondemandfile" TargetMode="External"/><Relationship Id="rId1058" Type="http://schemas.openxmlformats.org/officeDocument/2006/relationships/hyperlink" Target="https://www.linkedin.com/learning/quickbooks-online-tips-and-tricks?trk=ondemandfile" TargetMode="External"/><Relationship Id="rId2389" Type="http://schemas.openxmlformats.org/officeDocument/2006/relationships/hyperlink" Target="https://www.linkedin.com/learning/how-to-be-both-assertive-and-likable?trk=ondemandfile" TargetMode="External"/><Relationship Id="rId1048" Type="http://schemas.openxmlformats.org/officeDocument/2006/relationships/hyperlink" Target="https://www.linkedin.com/learning/excel-implementing-balanced-scorecards-with-kpis?trk=ondemandfile" TargetMode="External"/><Relationship Id="rId2379" Type="http://schemas.openxmlformats.org/officeDocument/2006/relationships/hyperlink" Target="https://www.linkedin.com/learning/winding-down-get-a-better-night-s-sleep?trk=ondemandfile" TargetMode="External"/><Relationship Id="rId1049" Type="http://schemas.openxmlformats.org/officeDocument/2006/relationships/hyperlink" Target="https://www.linkedin.com/learning/accounting-foundations-internal-controls?trk=ondemandfile" TargetMode="External"/><Relationship Id="rId217" Type="http://schemas.openxmlformats.org/officeDocument/2006/relationships/hyperlink" Target="https://www.linkedin.com/learning/inclusive-leadership?trk=ondemandfile" TargetMode="External"/><Relationship Id="rId216" Type="http://schemas.openxmlformats.org/officeDocument/2006/relationships/hyperlink" Target="https://www.linkedin.com/learning/creating-the-environment-for-productive-virtual-teams?trk=ondemandfile" TargetMode="External"/><Relationship Id="rId215" Type="http://schemas.openxmlformats.org/officeDocument/2006/relationships/hyperlink" Target="https://www.linkedin.com/learning/leveraging-virtual-and-hybrid-teams-for-improved-effectiveness?trk=ondemandfile" TargetMode="External"/><Relationship Id="rId699" Type="http://schemas.openxmlformats.org/officeDocument/2006/relationships/hyperlink" Target="https://www.linkedin.com/learning/2020-vlog-leading-with-intelligent-disobedience?trk=ondemandfile" TargetMode="External"/><Relationship Id="rId214" Type="http://schemas.openxmlformats.org/officeDocument/2006/relationships/hyperlink" Target="https://www.linkedin.com/learning/creating-an-adaptable-team?trk=ondemandfile" TargetMode="External"/><Relationship Id="rId698" Type="http://schemas.openxmlformats.org/officeDocument/2006/relationships/hyperlink" Target="https://www.linkedin.com/learning/making-key-decisions-as-a-manager?trk=ondemandfile" TargetMode="External"/><Relationship Id="rId219" Type="http://schemas.openxmlformats.org/officeDocument/2006/relationships/hyperlink" Target="https://www.linkedin.com/learning/creating-a-culture-of-collaboration?trk=ondemandfile" TargetMode="External"/><Relationship Id="rId218" Type="http://schemas.openxmlformats.org/officeDocument/2006/relationships/hyperlink" Target="https://www.linkedin.com/learning/paths/advance-your-skills-as-an-individual-contributor?trk=ondemandfile" TargetMode="External"/><Relationship Id="rId2370" Type="http://schemas.openxmlformats.org/officeDocument/2006/relationships/hyperlink" Target="https://www.linkedin.com/learning/meditations-to-change-your-brain?trk=ondemandfile" TargetMode="External"/><Relationship Id="rId693" Type="http://schemas.openxmlformats.org/officeDocument/2006/relationships/hyperlink" Target="https://www.linkedin.com/learning/start-with-why?trk=ondemandfile" TargetMode="External"/><Relationship Id="rId1040" Type="http://schemas.openxmlformats.org/officeDocument/2006/relationships/hyperlink" Target="https://www.linkedin.com/learning/excel-for-corporate-finance-professionals?trk=ondemandfile" TargetMode="External"/><Relationship Id="rId2371" Type="http://schemas.openxmlformats.org/officeDocument/2006/relationships/hyperlink" Target="https://www.linkedin.com/learning/developing-self-awareness?trk=ondemandfile" TargetMode="External"/><Relationship Id="rId692" Type="http://schemas.openxmlformats.org/officeDocument/2006/relationships/hyperlink" Target="https://www.linkedin.com/learning/executive-decision-making?trk=ondemandfile" TargetMode="External"/><Relationship Id="rId1041" Type="http://schemas.openxmlformats.org/officeDocument/2006/relationships/hyperlink" Target="https://www.linkedin.com/learning/corporate-finance-robust-financial-modeling?trk=ondemandfile" TargetMode="External"/><Relationship Id="rId2372" Type="http://schemas.openxmlformats.org/officeDocument/2006/relationships/hyperlink" Target="https://www.linkedin.com/learning/avoiding-burnout-2019?trk=ondemandfile" TargetMode="External"/><Relationship Id="rId691" Type="http://schemas.openxmlformats.org/officeDocument/2006/relationships/hyperlink" Target="https://www.linkedin.com/learning/paths/master-in-demand-professional-soft-skills?trk=ondemandfile" TargetMode="External"/><Relationship Id="rId1042" Type="http://schemas.openxmlformats.org/officeDocument/2006/relationships/hyperlink" Target="https://www.linkedin.com/learning/data-analytics-for-business-professionals?trk=ondemandfile" TargetMode="External"/><Relationship Id="rId2373" Type="http://schemas.openxmlformats.org/officeDocument/2006/relationships/hyperlink" Target="https://www.linkedin.com/learning/sky-yogi-relax-and-stretch-for-a-better-flight?trk=ondemandfile" TargetMode="External"/><Relationship Id="rId690" Type="http://schemas.openxmlformats.org/officeDocument/2006/relationships/hyperlink" Target="https://www.linkedin.com/learning/learning-agility?trk=ondemandfile" TargetMode="External"/><Relationship Id="rId1043" Type="http://schemas.openxmlformats.org/officeDocument/2006/relationships/hyperlink" Target="https://www.linkedin.com/learning/algorithmic-trading-and-stocks-essential-training?trk=ondemandfile" TargetMode="External"/><Relationship Id="rId2374" Type="http://schemas.openxmlformats.org/officeDocument/2006/relationships/hyperlink" Target="https://www.linkedin.com/learning/boost-emotional-intelligence-with-mindfulness?trk=ondemandfile" TargetMode="External"/><Relationship Id="rId213" Type="http://schemas.openxmlformats.org/officeDocument/2006/relationships/hyperlink" Target="https://www.linkedin.com/learning/creating-winning-teams?trk=ondemandfile" TargetMode="External"/><Relationship Id="rId697" Type="http://schemas.openxmlformats.org/officeDocument/2006/relationships/hyperlink" Target="https://www.linkedin.com/learning/using-questions-to-coach-and-lead?trk=ondemandfile" TargetMode="External"/><Relationship Id="rId1044" Type="http://schemas.openxmlformats.org/officeDocument/2006/relationships/hyperlink" Target="https://www.linkedin.com/learning/data-analytics-for-pricing-analysts-in-excel?trk=ondemandfile" TargetMode="External"/><Relationship Id="rId2375" Type="http://schemas.openxmlformats.org/officeDocument/2006/relationships/hyperlink" Target="https://www.linkedin.com/learning/managing-stress-2019?trk=ondemandfile" TargetMode="External"/><Relationship Id="rId212" Type="http://schemas.openxmlformats.org/officeDocument/2006/relationships/hyperlink" Target="https://www.linkedin.com/learning/building-and-managing-a-high-performing-sales-team?trk=ondemandfile" TargetMode="External"/><Relationship Id="rId696" Type="http://schemas.openxmlformats.org/officeDocument/2006/relationships/hyperlink" Target="https://www.linkedin.com/learning/developing-a-critical-thinking-mindset?trk=ondemandfile" TargetMode="External"/><Relationship Id="rId1045" Type="http://schemas.openxmlformats.org/officeDocument/2006/relationships/hyperlink" Target="https://www.linkedin.com/learning/sql-for-statistics-essential-training?trk=ondemandfile" TargetMode="External"/><Relationship Id="rId2376" Type="http://schemas.openxmlformats.org/officeDocument/2006/relationships/hyperlink" Target="https://www.linkedin.com/learning/how-to-make-work-more-meaningful?trk=ondemandfile" TargetMode="External"/><Relationship Id="rId211" Type="http://schemas.openxmlformats.org/officeDocument/2006/relationships/hyperlink" Target="https://www.linkedin.com/learning/enhancing-team-innovation?trk=ondemandfile" TargetMode="External"/><Relationship Id="rId695" Type="http://schemas.openxmlformats.org/officeDocument/2006/relationships/hyperlink" Target="https://www.linkedin.com/learning/overcoming-decision-making-traps?trk=ondemandfile" TargetMode="External"/><Relationship Id="rId1046" Type="http://schemas.openxmlformats.org/officeDocument/2006/relationships/hyperlink" Target="https://www.linkedin.com/learning/financial-modeling-and-forecasting-financial-statements?trk=ondemandfile" TargetMode="External"/><Relationship Id="rId2377" Type="http://schemas.openxmlformats.org/officeDocument/2006/relationships/hyperlink" Target="https://www.linkedin.com/learning/mindful-productivity?trk=ondemandfile" TargetMode="External"/><Relationship Id="rId210" Type="http://schemas.openxmlformats.org/officeDocument/2006/relationships/hyperlink" Target="https://www.linkedin.com/learning/backgrounder-difficult-conversations-and-negotiations?trk=ondemandfile" TargetMode="External"/><Relationship Id="rId694" Type="http://schemas.openxmlformats.org/officeDocument/2006/relationships/hyperlink" Target="https://www.linkedin.com/learning/applying-critical-thinking-strategies-to-communicate-effectively?trk=ondemandfile" TargetMode="External"/><Relationship Id="rId1047" Type="http://schemas.openxmlformats.org/officeDocument/2006/relationships/hyperlink" Target="https://www.linkedin.com/learning/accounting-foundations-leases?trk=ondemandfile" TargetMode="External"/><Relationship Id="rId2378" Type="http://schemas.openxmlformats.org/officeDocument/2006/relationships/hyperlink" Target="https://www.linkedin.com/learning/embracing-change-with-mindfulness?trk=ondemandfile" TargetMode="External"/><Relationship Id="rId249" Type="http://schemas.openxmlformats.org/officeDocument/2006/relationships/hyperlink" Target="https://www.linkedin.com/learning/become-a-super-collaborator?trk=ondemandfile" TargetMode="External"/><Relationship Id="rId248" Type="http://schemas.openxmlformats.org/officeDocument/2006/relationships/hyperlink" Target="https://www.linkedin.com/learning/how-to-build-rapport-quickly?trk=ondemandfile" TargetMode="External"/><Relationship Id="rId247" Type="http://schemas.openxmlformats.org/officeDocument/2006/relationships/hyperlink" Target="https://www.linkedin.com/learning/cross-functional-sales-teams?trk=ondemandfile" TargetMode="External"/><Relationship Id="rId1070" Type="http://schemas.openxmlformats.org/officeDocument/2006/relationships/hyperlink" Target="https://www.linkedin.com/learning/economics-for-everyone-housing-markets-in-crisis?trk=ondemandfile" TargetMode="External"/><Relationship Id="rId1071" Type="http://schemas.openxmlformats.org/officeDocument/2006/relationships/hyperlink" Target="https://www.linkedin.com/learning/what-is-business-analysis?trk=ondemandfile" TargetMode="External"/><Relationship Id="rId1072" Type="http://schemas.openxmlformats.org/officeDocument/2006/relationships/hyperlink" Target="https://www.linkedin.com/learning/succession-planning?trk=ondemandfile" TargetMode="External"/><Relationship Id="rId242" Type="http://schemas.openxmlformats.org/officeDocument/2006/relationships/hyperlink" Target="https://www.linkedin.com/learning/advanced-remote-work-strategies?trk=ondemandfile" TargetMode="External"/><Relationship Id="rId1073" Type="http://schemas.openxmlformats.org/officeDocument/2006/relationships/hyperlink" Target="https://www.linkedin.com/learning/paths/build-a-company-learning-and-development-program?trk=ondemandfile" TargetMode="External"/><Relationship Id="rId241" Type="http://schemas.openxmlformats.org/officeDocument/2006/relationships/hyperlink" Target="https://www.linkedin.com/learning/building-connection-and-engagement-in-virtual-teams?trk=ondemandfile" TargetMode="External"/><Relationship Id="rId1074" Type="http://schemas.openxmlformats.org/officeDocument/2006/relationships/hyperlink" Target="https://www.linkedin.com/learning/organization-culture?trk=ondemandfile" TargetMode="External"/><Relationship Id="rId240" Type="http://schemas.openxmlformats.org/officeDocument/2006/relationships/hyperlink" Target="https://www.linkedin.com/learning/be-a-better-manager-by-motivating-your-team?trk=ondemandfile" TargetMode="External"/><Relationship Id="rId1075" Type="http://schemas.openxmlformats.org/officeDocument/2006/relationships/hyperlink" Target="https://www.linkedin.com/learning/paths/become-a-corporate-recruiter?trk=ondemandfile" TargetMode="External"/><Relationship Id="rId1076" Type="http://schemas.openxmlformats.org/officeDocument/2006/relationships/hyperlink" Target="https://www.linkedin.com/learning/rewarding-employee-performance?trk=ondemandfile" TargetMode="External"/><Relationship Id="rId246" Type="http://schemas.openxmlformats.org/officeDocument/2006/relationships/hyperlink" Target="https://www.linkedin.com/learning/collaborative-workflows-for-editors-and-designers?trk=contentmappingfile" TargetMode="External"/><Relationship Id="rId1077" Type="http://schemas.openxmlformats.org/officeDocument/2006/relationships/hyperlink" Target="https://www.linkedin.com/learning/paths/become-an-external-recruiter?trk=ondemandfile" TargetMode="External"/><Relationship Id="rId245" Type="http://schemas.openxmlformats.org/officeDocument/2006/relationships/hyperlink" Target="https://www.linkedin.com/learning/build-a-trustworthy-reputation?trk=ondemandfile" TargetMode="External"/><Relationship Id="rId1078" Type="http://schemas.openxmlformats.org/officeDocument/2006/relationships/hyperlink" Target="https://www.linkedin.com/learning/employee-experience?trk=ondemandfile" TargetMode="External"/><Relationship Id="rId244" Type="http://schemas.openxmlformats.org/officeDocument/2006/relationships/hyperlink" Target="https://www.linkedin.com/learning/a-guide-to-ergs-employee-resource-groups?trk=ondemandfile" TargetMode="External"/><Relationship Id="rId1079" Type="http://schemas.openxmlformats.org/officeDocument/2006/relationships/hyperlink" Target="https://www.linkedin.com/learning/paths/become-an-hr-business-partner?trk=ondemandfile" TargetMode="External"/><Relationship Id="rId243" Type="http://schemas.openxmlformats.org/officeDocument/2006/relationships/hyperlink" Target="https://www.linkedin.com/learning/how-to-develop-friendships-and-connect-meaningfully-with-work-colleagues?trk=ondemandfile" TargetMode="External"/><Relationship Id="rId239" Type="http://schemas.openxmlformats.org/officeDocument/2006/relationships/hyperlink" Target="https://www.linkedin.com/learning/managing-in-a-matrixed-organization?trk=ondemandfile" TargetMode="External"/><Relationship Id="rId238" Type="http://schemas.openxmlformats.org/officeDocument/2006/relationships/hyperlink" Target="https://www.linkedin.com/learning/connecting-to-executives-2018?trk=ondemandfile" TargetMode="External"/><Relationship Id="rId237" Type="http://schemas.openxmlformats.org/officeDocument/2006/relationships/hyperlink" Target="https://www.linkedin.com/learning/igniting-emotional-engagement?trk=ondemandfile" TargetMode="External"/><Relationship Id="rId236" Type="http://schemas.openxmlformats.org/officeDocument/2006/relationships/hyperlink" Target="https://www.linkedin.com/learning/facilitation-skills-for-managers-and-leaders?trk=ondemandfile" TargetMode="External"/><Relationship Id="rId2390" Type="http://schemas.openxmlformats.org/officeDocument/2006/relationships/hyperlink" Target="https://www.linkedin.com/learning/pushing-past-your-prior-limits?trk=ondemandfile" TargetMode="External"/><Relationship Id="rId1060" Type="http://schemas.openxmlformats.org/officeDocument/2006/relationships/hyperlink" Target="https://www.linkedin.com/learning/accounting-foundations-statement-of-cash-flows?trk=ondemandfile" TargetMode="External"/><Relationship Id="rId2391" Type="http://schemas.openxmlformats.org/officeDocument/2006/relationships/hyperlink" Target="https://www.linkedin.com/learning/establishing-evening-routines-to-optimize-the-day-ahead?trk=ondemandfile" TargetMode="External"/><Relationship Id="rId1061" Type="http://schemas.openxmlformats.org/officeDocument/2006/relationships/hyperlink" Target="https://www.linkedin.com/learning/finance-foundations-corporate-governanace?trk=ondemandfile" TargetMode="External"/><Relationship Id="rId2392" Type="http://schemas.openxmlformats.org/officeDocument/2006/relationships/hyperlink" Target="https://www.linkedin.com/learning/achieving-more-through-smart-energy-management?trk=ondemandfile" TargetMode="External"/><Relationship Id="rId231" Type="http://schemas.openxmlformats.org/officeDocument/2006/relationships/hyperlink" Target="https://www.linkedin.com/learning/leading-inclusive-teams?trk=ondemandfile" TargetMode="External"/><Relationship Id="rId1062" Type="http://schemas.openxmlformats.org/officeDocument/2006/relationships/hyperlink" Target="https://www.linkedin.com/learning/financial-literacy-for-employees?trk=ondemandfile" TargetMode="External"/><Relationship Id="rId2393" Type="http://schemas.openxmlformats.org/officeDocument/2006/relationships/hyperlink" Target="https://www.linkedin.com/learning/confidence-how-to-overcome-self-doubt-insecurity-and-fears?trk=ondemandfile" TargetMode="External"/><Relationship Id="rId230" Type="http://schemas.openxmlformats.org/officeDocument/2006/relationships/hyperlink" Target="https://www.linkedin.com/learning/supporting-a-grieving-employee-a-manager-s-guide?trk=ondemandfile" TargetMode="External"/><Relationship Id="rId1063" Type="http://schemas.openxmlformats.org/officeDocument/2006/relationships/hyperlink" Target="https://www.linkedin.com/learning/preparing-for-an-audit?trk=ondemandfile" TargetMode="External"/><Relationship Id="rId2394" Type="http://schemas.openxmlformats.org/officeDocument/2006/relationships/hyperlink" Target="https://www.linkedin.com/learning/strategies-to-improve-self-awareness?trk=ondemandfile" TargetMode="External"/><Relationship Id="rId1064" Type="http://schemas.openxmlformats.org/officeDocument/2006/relationships/hyperlink" Target="https://www.linkedin.com/learning/introduction-to-nfts-non-fungible-tokens?trk=ondemandfile" TargetMode="External"/><Relationship Id="rId2395" Type="http://schemas.openxmlformats.org/officeDocument/2006/relationships/hyperlink" Target="https://www.linkedin.com/learning/overcoming-perfectionism?trk=ondemandfile" TargetMode="External"/><Relationship Id="rId1065" Type="http://schemas.openxmlformats.org/officeDocument/2006/relationships/hyperlink" Target="https://www.linkedin.com/learning/accounting-ethics?trk=ondemandfile" TargetMode="External"/><Relationship Id="rId2396" Type="http://schemas.openxmlformats.org/officeDocument/2006/relationships/hyperlink" Target="https://www.linkedin.com/learning/sales-well-being-managing-anxiety-burnout-and-rejection?trk=ondemandfile" TargetMode="External"/><Relationship Id="rId235" Type="http://schemas.openxmlformats.org/officeDocument/2006/relationships/hyperlink" Target="https://www.linkedin.com/learning/managing-and-working-with-a-technical-team-for-nontechnical-professionals?trk=ondemandfile" TargetMode="External"/><Relationship Id="rId1066" Type="http://schemas.openxmlformats.org/officeDocument/2006/relationships/hyperlink" Target="https://www.linkedin.com/learning/agile-foundations?trk=ondemandfile" TargetMode="External"/><Relationship Id="rId2397" Type="http://schemas.openxmlformats.org/officeDocument/2006/relationships/hyperlink" Target="https://www.linkedin.com/learning/lose-your-fear-of-asking-questions-at-work?trk=ondemandfile" TargetMode="External"/><Relationship Id="rId234" Type="http://schemas.openxmlformats.org/officeDocument/2006/relationships/hyperlink" Target="https://www.linkedin.com/learning/unleash-your-team-s-creativity?trk=ondemandfile" TargetMode="External"/><Relationship Id="rId1067" Type="http://schemas.openxmlformats.org/officeDocument/2006/relationships/hyperlink" Target="https://www.linkedin.com/learning/managing-international-projects-2?trk=ondemandfile" TargetMode="External"/><Relationship Id="rId2398" Type="http://schemas.openxmlformats.org/officeDocument/2006/relationships/hyperlink" Target="https://www.linkedin.com/learning/vulnerability-the-workplace-superpower-disguised-as-a-weakness?trk=ondemandfile" TargetMode="External"/><Relationship Id="rId233" Type="http://schemas.openxmlformats.org/officeDocument/2006/relationships/hyperlink" Target="https://www.linkedin.com/learning/the-art-of-connection-7-relationship-building-skills-every-leader-needs-now-getabstract-summary?trk=ondemandfile" TargetMode="External"/><Relationship Id="rId1068" Type="http://schemas.openxmlformats.org/officeDocument/2006/relationships/hyperlink" Target="https://www.linkedin.com/learning/recovering-from-a-financial-setback?trk=ondemandfile" TargetMode="External"/><Relationship Id="rId2399" Type="http://schemas.openxmlformats.org/officeDocument/2006/relationships/hyperlink" Target="https://www.linkedin.com/learning/prepare-for-returning-to-the-workplace?trk=ondemandfile" TargetMode="External"/><Relationship Id="rId232" Type="http://schemas.openxmlformats.org/officeDocument/2006/relationships/hyperlink" Target="https://www.linkedin.com/learning/what-are-your-blind-spots-getabstract-summary?trk=ondemandfile" TargetMode="External"/><Relationship Id="rId1069" Type="http://schemas.openxmlformats.org/officeDocument/2006/relationships/hyperlink" Target="https://www.linkedin.com/learning/financial-basics-everyone-should-know?trk=ondemandfile" TargetMode="External"/><Relationship Id="rId1015" Type="http://schemas.openxmlformats.org/officeDocument/2006/relationships/hyperlink" Target="https://www.linkedin.com/learning/first-5-things-you-have-to-do-to-start-a-business-as-a-creator?trk=ondemandfile" TargetMode="External"/><Relationship Id="rId1499" Type="http://schemas.openxmlformats.org/officeDocument/2006/relationships/hyperlink" Target="https://www.linkedin.com/learning/fostering-belonging-as-a-leader?trk=ondemandfile" TargetMode="External"/><Relationship Id="rId2346" Type="http://schemas.openxmlformats.org/officeDocument/2006/relationships/hyperlink" Target="https://www.linkedin.com/learning/career-wellness-nano-tips-with-shade-zahrai?trk=contentmappingfile" TargetMode="External"/><Relationship Id="rId1016" Type="http://schemas.openxmlformats.org/officeDocument/2006/relationships/hyperlink" Target="https://www.linkedin.com/learning/build-your-financial-literacy?trk=ondemandfile" TargetMode="External"/><Relationship Id="rId2347" Type="http://schemas.openxmlformats.org/officeDocument/2006/relationships/hyperlink" Target="https://www.linkedin.com/learning/sharing-your-best-self-at-work?trk=ondemandfile" TargetMode="External"/><Relationship Id="rId1017" Type="http://schemas.openxmlformats.org/officeDocument/2006/relationships/hyperlink" Target="https://www.linkedin.com/learning/managerial-finance-foundations?trk=ondemandfile" TargetMode="External"/><Relationship Id="rId2348" Type="http://schemas.openxmlformats.org/officeDocument/2006/relationships/hyperlink" Target="https://www.linkedin.com/learning/how-to-use-entrepreneurial-thinking-to-conquer-fear-and-motivate-yourself?trk=ondemandfile" TargetMode="External"/><Relationship Id="rId1018" Type="http://schemas.openxmlformats.org/officeDocument/2006/relationships/hyperlink" Target="https://www.linkedin.com/learning/accounting-foundations-understanding-the-gaap-general-applied-accounting-principles?trk=ondemandfile" TargetMode="External"/><Relationship Id="rId2349" Type="http://schemas.openxmlformats.org/officeDocument/2006/relationships/hyperlink" Target="https://www.linkedin.com/learning/practices-for-regulating-your-nervous-system-and-reducing-stress?trk=ondemandfile" TargetMode="External"/><Relationship Id="rId1019" Type="http://schemas.openxmlformats.org/officeDocument/2006/relationships/hyperlink" Target="https://www.linkedin.com/learning/quickbooks-online-essential-training-2021?trk=ondemandfile" TargetMode="External"/><Relationship Id="rId668" Type="http://schemas.openxmlformats.org/officeDocument/2006/relationships/hyperlink" Target="https://www.linkedin.com/learning/banish-your-inner-critic-to-unleash-creativity-3?trk=ondemandfile" TargetMode="External"/><Relationship Id="rId667" Type="http://schemas.openxmlformats.org/officeDocument/2006/relationships/hyperlink" Target="https://www.linkedin.com/learning/21-day-creative-exercise-desk-challenge?trk=ondemandfile" TargetMode="External"/><Relationship Id="rId666" Type="http://schemas.openxmlformats.org/officeDocument/2006/relationships/hyperlink" Target="https://www.linkedin.com/learning/how-to-boost-your-creativity-at-home-in-10-days?trk=ondemandfile" TargetMode="External"/><Relationship Id="rId665" Type="http://schemas.openxmlformats.org/officeDocument/2006/relationships/hyperlink" Target="https://www.linkedin.com/learning/illustrator-cc-2018-one-on-one-advanced-revision-2?trk=ondemandfile" TargetMode="External"/><Relationship Id="rId669" Type="http://schemas.openxmlformats.org/officeDocument/2006/relationships/hyperlink" Target="https://www.linkedin.com/learning/implementing-creative-feedback-the-win-win-way?trk=ondemandfile" TargetMode="External"/><Relationship Id="rId1490" Type="http://schemas.openxmlformats.org/officeDocument/2006/relationships/hyperlink" Target="https://www.linkedin.com/learning/inclusive-communication?trk=ondemandfile" TargetMode="External"/><Relationship Id="rId660" Type="http://schemas.openxmlformats.org/officeDocument/2006/relationships/hyperlink" Target="https://www.linkedin.com/learning/practical-creativity-for-everyone?trk=ondemandfile" TargetMode="External"/><Relationship Id="rId1491" Type="http://schemas.openxmlformats.org/officeDocument/2006/relationships/hyperlink" Target="https://www.linkedin.com/learning/project-leadership?trk=ondemandfile" TargetMode="External"/><Relationship Id="rId1492" Type="http://schemas.openxmlformats.org/officeDocument/2006/relationships/hyperlink" Target="https://www.linkedin.com/learning/navigating-complexity-in-your-organization?trk=ondemandfile" TargetMode="External"/><Relationship Id="rId1493" Type="http://schemas.openxmlformats.org/officeDocument/2006/relationships/hyperlink" Target="https://www.linkedin.com/learning/how-to-inspire-and-develop-your-direct-reports?trk=ondemandfile" TargetMode="External"/><Relationship Id="rId2340" Type="http://schemas.openxmlformats.org/officeDocument/2006/relationships/hyperlink" Target="https://www.linkedin.com/learning/how-to-be-a-positive-leader?trk=ondemandfile" TargetMode="External"/><Relationship Id="rId1010" Type="http://schemas.openxmlformats.org/officeDocument/2006/relationships/hyperlink" Target="https://www.linkedin.com/learning/financial-accounting-foundations?trk=ondemandfile" TargetMode="External"/><Relationship Id="rId1494" Type="http://schemas.openxmlformats.org/officeDocument/2006/relationships/hyperlink" Target="https://www.linkedin.com/learning/leading-through-chaos?trk=ondemandfile" TargetMode="External"/><Relationship Id="rId2341" Type="http://schemas.openxmlformats.org/officeDocument/2006/relationships/hyperlink" Target="https://www.linkedin.com/learning/paths/developing-resilience-and-grit?trk=ondemandfile" TargetMode="External"/><Relationship Id="rId664" Type="http://schemas.openxmlformats.org/officeDocument/2006/relationships/hyperlink" Target="https://www.linkedin.com/learning/creativity-for-all?trk=ondemandfile" TargetMode="External"/><Relationship Id="rId1011" Type="http://schemas.openxmlformats.org/officeDocument/2006/relationships/hyperlink" Target="https://www.linkedin.com/learning/behavioral-finance-foundations-2?trk=ondemandfile" TargetMode="External"/><Relationship Id="rId1495" Type="http://schemas.openxmlformats.org/officeDocument/2006/relationships/hyperlink" Target="https://www.linkedin.com/learning/overcoming-obstacles-to-leading-with-confidence?trk=ondemandfile" TargetMode="External"/><Relationship Id="rId2342" Type="http://schemas.openxmlformats.org/officeDocument/2006/relationships/hyperlink" Target="https://www.linkedin.com/learning/how-to-support-your-employees-well-being?trk=ondemandfile" TargetMode="External"/><Relationship Id="rId663" Type="http://schemas.openxmlformats.org/officeDocument/2006/relationships/hyperlink" Target="https://www.linkedin.com/learning/creativity-generate-ideas-in-greater-quantity-and-quality?trk=ondemandfile" TargetMode="External"/><Relationship Id="rId1012" Type="http://schemas.openxmlformats.org/officeDocument/2006/relationships/hyperlink" Target="https://www.linkedin.com/learning/using-the-time-value-of-money-to-make-financial-decisions-2020?trk=ondemandfile" TargetMode="External"/><Relationship Id="rId1496" Type="http://schemas.openxmlformats.org/officeDocument/2006/relationships/hyperlink" Target="https://www.linkedin.com/learning/effective-sponsorship-across-difference-for-sponsors?trk=contentmappingfile" TargetMode="External"/><Relationship Id="rId2343" Type="http://schemas.openxmlformats.org/officeDocument/2006/relationships/hyperlink" Target="https://www.linkedin.com/learning/managing-your-well-being-as-a-leader?trk=ondemandfile" TargetMode="External"/><Relationship Id="rId662" Type="http://schemas.openxmlformats.org/officeDocument/2006/relationships/hyperlink" Target="https://www.linkedin.com/learning/applied-curiosity?trk=ondemandfile" TargetMode="External"/><Relationship Id="rId1013" Type="http://schemas.openxmlformats.org/officeDocument/2006/relationships/hyperlink" Target="https://www.linkedin.com/learning/finance-essentials-for-small-business?trk=ondemandfile" TargetMode="External"/><Relationship Id="rId1497" Type="http://schemas.openxmlformats.org/officeDocument/2006/relationships/hyperlink" Target="https://www.linkedin.com/learning/exercising-a-growth-mindset-as-a-leader-nine-common-workplace-challenges?trk=ondemandfile" TargetMode="External"/><Relationship Id="rId2344" Type="http://schemas.openxmlformats.org/officeDocument/2006/relationships/hyperlink" Target="https://www.linkedin.com/learning/leading-with-empathy?trk=ondemandfile" TargetMode="External"/><Relationship Id="rId661" Type="http://schemas.openxmlformats.org/officeDocument/2006/relationships/hyperlink" Target="https://www.linkedin.com/learning/graphic-design-foundations-ideas-concepts-and-form?trk=ondemandfile" TargetMode="External"/><Relationship Id="rId1014" Type="http://schemas.openxmlformats.org/officeDocument/2006/relationships/hyperlink" Target="https://www.linkedin.com/learning/managing-your-personal-finances-2021?trk=ondemandfile" TargetMode="External"/><Relationship Id="rId1498" Type="http://schemas.openxmlformats.org/officeDocument/2006/relationships/hyperlink" Target="https://www.linkedin.com/learning/demonstrating-accountability-as-a-leader?trk=ondemandfile" TargetMode="External"/><Relationship Id="rId2345" Type="http://schemas.openxmlformats.org/officeDocument/2006/relationships/hyperlink" Target="https://www.linkedin.com/learning/the-leader-s-guide-to-mindfulness-getabstract-summary?trk=ondemandfile" TargetMode="External"/><Relationship Id="rId1004" Type="http://schemas.openxmlformats.org/officeDocument/2006/relationships/hyperlink" Target="https://www.linkedin.com/learning/how-to-analyze-a-wholesale-deal-in-real-estate?trk=ondemandfile" TargetMode="External"/><Relationship Id="rId1488" Type="http://schemas.openxmlformats.org/officeDocument/2006/relationships/hyperlink" Target="https://www.linkedin.com/learning/work-on-purpose?trk=ondemandfile" TargetMode="External"/><Relationship Id="rId2335" Type="http://schemas.openxmlformats.org/officeDocument/2006/relationships/hyperlink" Target="https://www.linkedin.com/learning/paths/staying-positive-and-productive-during-uncertainty?trk=ondemandfile" TargetMode="External"/><Relationship Id="rId1005" Type="http://schemas.openxmlformats.org/officeDocument/2006/relationships/hyperlink" Target="https://www.linkedin.com/learning/consulting-foundations?trk=ondemandfile" TargetMode="External"/><Relationship Id="rId1489" Type="http://schemas.openxmlformats.org/officeDocument/2006/relationships/hyperlink" Target="https://www.linkedin.com/learning/superhuman-innovation-blinkist-summary?trk=ondemandfile" TargetMode="External"/><Relationship Id="rId2336" Type="http://schemas.openxmlformats.org/officeDocument/2006/relationships/hyperlink" Target="https://www.linkedin.com/learning/supporting-a-grieving-employee-a-manager-s-guide?trk=ondemandfile" TargetMode="External"/><Relationship Id="rId1006" Type="http://schemas.openxmlformats.org/officeDocument/2006/relationships/hyperlink" Target="https://www.linkedin.com/learning/agile-moscow-prioritization?trk=ondemandfile" TargetMode="External"/><Relationship Id="rId2337" Type="http://schemas.openxmlformats.org/officeDocument/2006/relationships/hyperlink" Target="https://www.linkedin.com/learning/paths/support-your-mental-health-during-challenging-times?trk=ondemandfile" TargetMode="External"/><Relationship Id="rId1007" Type="http://schemas.openxmlformats.org/officeDocument/2006/relationships/hyperlink" Target="https://www.linkedin.com/learning/picking-the-right-chart-for-your-data?trk=ondemandfile" TargetMode="External"/><Relationship Id="rId2338" Type="http://schemas.openxmlformats.org/officeDocument/2006/relationships/hyperlink" Target="https://www.linkedin.com/learning/the-culture-code?trk=ondemandfile" TargetMode="External"/><Relationship Id="rId1008" Type="http://schemas.openxmlformats.org/officeDocument/2006/relationships/hyperlink" Target="https://www.linkedin.com/learning/applying-managerial-accounting?trk=ondemandfile" TargetMode="External"/><Relationship Id="rId2339" Type="http://schemas.openxmlformats.org/officeDocument/2006/relationships/hyperlink" Target="https://www.linkedin.com/learning/paths/supporting-your-well-being-during-times-of-change-and-uncertainty?trk=ondemandfile" TargetMode="External"/><Relationship Id="rId1009" Type="http://schemas.openxmlformats.org/officeDocument/2006/relationships/hyperlink" Target="https://www.linkedin.com/learning/corporate-finance-foundations?trk=ondemandfile" TargetMode="External"/><Relationship Id="rId657" Type="http://schemas.openxmlformats.org/officeDocument/2006/relationships/hyperlink" Target="https://www.linkedin.com/learning/how-blockchains-will-change-business?trk=ondemandfile" TargetMode="External"/><Relationship Id="rId656" Type="http://schemas.openxmlformats.org/officeDocument/2006/relationships/hyperlink" Target="https://www.linkedin.com/learning/introduction-to-responsible-ai-algorithm-design?trk=ondemandfile" TargetMode="External"/><Relationship Id="rId655" Type="http://schemas.openxmlformats.org/officeDocument/2006/relationships/hyperlink" Target="https://www.linkedin.com/learning/business-innovation-foundations-2020?trk=ondemandfile" TargetMode="External"/><Relationship Id="rId654" Type="http://schemas.openxmlformats.org/officeDocument/2006/relationships/hyperlink" Target="https://www.linkedin.com/learning/four-simple-strategies-to-boost-creativity-and-productivity?trk=ondemandfile" TargetMode="External"/><Relationship Id="rId659" Type="http://schemas.openxmlformats.org/officeDocument/2006/relationships/hyperlink" Target="https://www.linkedin.com/learning/charles-adler-a-story-of-kickstarting-an-idea?trk=ondemandfile" TargetMode="External"/><Relationship Id="rId658" Type="http://schemas.openxmlformats.org/officeDocument/2006/relationships/hyperlink" Target="https://www.linkedin.com/learning/design-thinking-implementing-the-process?trk=ondemandfile" TargetMode="External"/><Relationship Id="rId1480" Type="http://schemas.openxmlformats.org/officeDocument/2006/relationships/hyperlink" Target="https://www.linkedin.com/learning/becoming-a-manager-your-team-loves?trk=ondemandfile" TargetMode="External"/><Relationship Id="rId1481" Type="http://schemas.openxmlformats.org/officeDocument/2006/relationships/hyperlink" Target="https://www.linkedin.com/learning/the-leader-s-guide-to-mindfulness-getabstract-summary?trk=ondemandfile" TargetMode="External"/><Relationship Id="rId1482" Type="http://schemas.openxmlformats.org/officeDocument/2006/relationships/hyperlink" Target="https://www.linkedin.com/learning/supporting-your-team-as-offices-reopen?trk=ondemandfile" TargetMode="External"/><Relationship Id="rId1483" Type="http://schemas.openxmlformats.org/officeDocument/2006/relationships/hyperlink" Target="https://www.linkedin.com/learning/leading-when-you-re-not-in-charge?trk=ondemandfile" TargetMode="External"/><Relationship Id="rId2330" Type="http://schemas.openxmlformats.org/officeDocument/2006/relationships/hyperlink" Target="https://www.linkedin.com/learning/balancing-multiple-roles-as-a-leader?trk=ondemandfile" TargetMode="External"/><Relationship Id="rId653" Type="http://schemas.openxmlformats.org/officeDocument/2006/relationships/hyperlink" Target="https://www.linkedin.com/learning/the-4-lenses-of-innovation-getabstract-summary?trk=ondemandfile" TargetMode="External"/><Relationship Id="rId1000" Type="http://schemas.openxmlformats.org/officeDocument/2006/relationships/hyperlink" Target="https://www.linkedin.com/learning/running-a-profitable-business-understanding-financial-ratios?trk=ondemandfile" TargetMode="External"/><Relationship Id="rId1484" Type="http://schemas.openxmlformats.org/officeDocument/2006/relationships/hyperlink" Target="https://www.linkedin.com/learning/inspirational-leadership-skills-practical-motivational-leadership?trk=ondemandfile" TargetMode="External"/><Relationship Id="rId2331" Type="http://schemas.openxmlformats.org/officeDocument/2006/relationships/hyperlink" Target="https://www.linkedin.com/learning/paths/manage-change-and-develop-your-adaptability-skills?trk=ondemandfile" TargetMode="External"/><Relationship Id="rId652" Type="http://schemas.openxmlformats.org/officeDocument/2006/relationships/hyperlink" Target="https://www.linkedin.com/learning/how-getting-curious-helps-you-achieve-everything?trk=ondemandfile" TargetMode="External"/><Relationship Id="rId1001" Type="http://schemas.openxmlformats.org/officeDocument/2006/relationships/hyperlink" Target="https://www.linkedin.com/learning/teaching-your-kids-about-finance?trk=ondemandfile" TargetMode="External"/><Relationship Id="rId1485" Type="http://schemas.openxmlformats.org/officeDocument/2006/relationships/hyperlink" Target="https://www.linkedin.com/learning/women-transforming-tech-finding-a-mentor?trk=ondemandfile" TargetMode="External"/><Relationship Id="rId2332" Type="http://schemas.openxmlformats.org/officeDocument/2006/relationships/hyperlink" Target="https://www.linkedin.com/learning/creating-a-positive-and-healthy-work-environment?trk=ondemandfile" TargetMode="External"/><Relationship Id="rId651" Type="http://schemas.openxmlformats.org/officeDocument/2006/relationships/hyperlink" Target="https://www.linkedin.com/learning/icebreakers-for-teams-meetings-and-groups?trk=ondemandfile" TargetMode="External"/><Relationship Id="rId1002" Type="http://schemas.openxmlformats.org/officeDocument/2006/relationships/hyperlink" Target="https://www.linkedin.com/learning/finance-foundations-for-solopreneurs?trk=ondemandfile" TargetMode="External"/><Relationship Id="rId1486" Type="http://schemas.openxmlformats.org/officeDocument/2006/relationships/hyperlink" Target="https://www.linkedin.com/learning/women-transforming-tech-round-table-discussion?trk=ondemandfile" TargetMode="External"/><Relationship Id="rId2333" Type="http://schemas.openxmlformats.org/officeDocument/2006/relationships/hyperlink" Target="https://www.linkedin.com/learning/paths/remote-working-setting-yourself-and-your-teams-up-for-success?trk=ondemandfile" TargetMode="External"/><Relationship Id="rId650" Type="http://schemas.openxmlformats.org/officeDocument/2006/relationships/hyperlink" Target="https://www.linkedin.com/learning/building-a-creative-online-community?trk=ondemandfile" TargetMode="External"/><Relationship Id="rId1003" Type="http://schemas.openxmlformats.org/officeDocument/2006/relationships/hyperlink" Target="https://www.linkedin.com/learning/understanding-capital-markets?trk=ondemandfile" TargetMode="External"/><Relationship Id="rId1487" Type="http://schemas.openxmlformats.org/officeDocument/2006/relationships/hyperlink" Target="https://www.linkedin.com/learning/become-a-courageous-female-leader?trk=ondemandfile" TargetMode="External"/><Relationship Id="rId2334" Type="http://schemas.openxmlformats.org/officeDocument/2006/relationships/hyperlink" Target="https://www.linkedin.com/learning/leading-with-fearless-mindfulness?trk=ondemandfile" TargetMode="External"/><Relationship Id="rId1037" Type="http://schemas.openxmlformats.org/officeDocument/2006/relationships/hyperlink" Target="https://www.linkedin.com/learning/consulting-foundations-client-management-and-relationships?trk=ondemandfile" TargetMode="External"/><Relationship Id="rId2368" Type="http://schemas.openxmlformats.org/officeDocument/2006/relationships/hyperlink" Target="https://www.linkedin.com/learning/ergonomics-101?trk=ondemandfile" TargetMode="External"/><Relationship Id="rId1038" Type="http://schemas.openxmlformats.org/officeDocument/2006/relationships/hyperlink" Target="https://www.linkedin.com/learning/critical-roles-consultants-play-and-the-skills-you-need-to-fill-them?trk=ondemandfile" TargetMode="External"/><Relationship Id="rId2369" Type="http://schemas.openxmlformats.org/officeDocument/2006/relationships/hyperlink" Target="https://www.linkedin.com/learning/developing-your-emotional-intelligence?trk=ondemandfile" TargetMode="External"/><Relationship Id="rId1039" Type="http://schemas.openxmlformats.org/officeDocument/2006/relationships/hyperlink" Target="https://www.linkedin.com/learning/excel-for-investment-professionals?trk=ondemandfile" TargetMode="External"/><Relationship Id="rId206" Type="http://schemas.openxmlformats.org/officeDocument/2006/relationships/hyperlink" Target="https://www.linkedin.com/learning/a-great-place-to-work-for-all-getabstract-summary?trk=ondemandfile" TargetMode="External"/><Relationship Id="rId205" Type="http://schemas.openxmlformats.org/officeDocument/2006/relationships/hyperlink" Target="https://www.linkedin.com/learning/shane-snow-on-dream-teams?trk=ondemandfile" TargetMode="External"/><Relationship Id="rId689" Type="http://schemas.openxmlformats.org/officeDocument/2006/relationships/hyperlink" Target="https://www.linkedin.com/learning/paths/improve-your-problem-solving-skills?trk=ondemandfile" TargetMode="External"/><Relationship Id="rId204" Type="http://schemas.openxmlformats.org/officeDocument/2006/relationships/hyperlink" Target="https://www.linkedin.com/learning/boosting-your-team-s-productivity?trk=ondemandfile" TargetMode="External"/><Relationship Id="rId688" Type="http://schemas.openxmlformats.org/officeDocument/2006/relationships/hyperlink" Target="https://www.linkedin.com/learning/removing-noise-and-bias-from-strategic-decision-making?trk=ondemandfile" TargetMode="External"/><Relationship Id="rId203" Type="http://schemas.openxmlformats.org/officeDocument/2006/relationships/hyperlink" Target="https://www.linkedin.com/learning/the-art-of-leadership-getabstract-summary?trk=ondemandfile" TargetMode="External"/><Relationship Id="rId687" Type="http://schemas.openxmlformats.org/officeDocument/2006/relationships/hyperlink" Target="https://www.linkedin.com/learning/paths/improve-your-organizational-skills?trk=ondemandfile" TargetMode="External"/><Relationship Id="rId209" Type="http://schemas.openxmlformats.org/officeDocument/2006/relationships/hyperlink" Target="https://www.linkedin.com/learning/best-practices-for-new-people-leaders?trk=ondemandfile" TargetMode="External"/><Relationship Id="rId208" Type="http://schemas.openxmlformats.org/officeDocument/2006/relationships/hyperlink" Target="https://www.linkedin.com/learning/essentials-of-team-collaboration?trk=ondemandfile" TargetMode="External"/><Relationship Id="rId207" Type="http://schemas.openxmlformats.org/officeDocument/2006/relationships/hyperlink" Target="https://www.linkedin.com/learning/business-chemistry-blinkist-summary?trk=ondemandfile" TargetMode="External"/><Relationship Id="rId682" Type="http://schemas.openxmlformats.org/officeDocument/2006/relationships/hyperlink" Target="https://www.linkedin.com/learning/managing-innovation?trk=ondemandfile" TargetMode="External"/><Relationship Id="rId2360" Type="http://schemas.openxmlformats.org/officeDocument/2006/relationships/hyperlink" Target="https://www.linkedin.com/learning/de-stress?trk=ondemandfile" TargetMode="External"/><Relationship Id="rId681" Type="http://schemas.openxmlformats.org/officeDocument/2006/relationships/hyperlink" Target="https://www.linkedin.com/learning/promoting-psychological-safety-to-encourage-employees-to-take-risks?trk=ondemandfile" TargetMode="External"/><Relationship Id="rId1030" Type="http://schemas.openxmlformats.org/officeDocument/2006/relationships/hyperlink" Target="https://www.linkedin.com/learning/corporate-finance-statement-analysis?trk=ondemandfile" TargetMode="External"/><Relationship Id="rId2361" Type="http://schemas.openxmlformats.org/officeDocument/2006/relationships/hyperlink" Target="https://www.linkedin.com/learning/overcoming-imposter-syndrome?trk=ondemandfile" TargetMode="External"/><Relationship Id="rId680" Type="http://schemas.openxmlformats.org/officeDocument/2006/relationships/hyperlink" Target="https://www.linkedin.com/learning/enhancing-team-innovation?trk=ondemandfile" TargetMode="External"/><Relationship Id="rId1031" Type="http://schemas.openxmlformats.org/officeDocument/2006/relationships/hyperlink" Target="https://www.linkedin.com/learning/corporate-finance-strategies-for-business-leaders?trk=ondemandfile" TargetMode="External"/><Relationship Id="rId2362" Type="http://schemas.openxmlformats.org/officeDocument/2006/relationships/hyperlink" Target="https://www.linkedin.com/learning/how-to-stop-freaking-out-and-keep-moving-forward?trk=ondemandfile" TargetMode="External"/><Relationship Id="rId1032" Type="http://schemas.openxmlformats.org/officeDocument/2006/relationships/hyperlink" Target="https://www.linkedin.com/learning/sap-business-one-finance-and-banking?trk=ondemandfile" TargetMode="External"/><Relationship Id="rId2363" Type="http://schemas.openxmlformats.org/officeDocument/2006/relationships/hyperlink" Target="https://www.linkedin.com/learning/how-to-have-compassionate-presence?trk=ondemandfile" TargetMode="External"/><Relationship Id="rId202" Type="http://schemas.openxmlformats.org/officeDocument/2006/relationships/hyperlink" Target="https://www.linkedin.com/learning/how-to-stop-wasting-time-in-meetings?trk=ondemandfile" TargetMode="External"/><Relationship Id="rId686" Type="http://schemas.openxmlformats.org/officeDocument/2006/relationships/hyperlink" Target="https://www.linkedin.com/learning/reid-hoffman-and-chris-yeh-on-blitzscaling?trk=ondemandfile" TargetMode="External"/><Relationship Id="rId1033" Type="http://schemas.openxmlformats.org/officeDocument/2006/relationships/hyperlink" Target="https://www.linkedin.com/learning/finance-for-non-financial-managers?trk=ondemandfile" TargetMode="External"/><Relationship Id="rId2364" Type="http://schemas.openxmlformats.org/officeDocument/2006/relationships/hyperlink" Target="https://www.linkedin.com/learning/mindfulness-for-beginners?trk=ondemandfile" TargetMode="External"/><Relationship Id="rId201" Type="http://schemas.openxmlformats.org/officeDocument/2006/relationships/hyperlink" Target="https://www.linkedin.com/learning/a-navy-seal-s-surprising-key-to-building-unstoppable-teams-caring?trk=ondemandfile" TargetMode="External"/><Relationship Id="rId685" Type="http://schemas.openxmlformats.org/officeDocument/2006/relationships/hyperlink" Target="https://www.linkedin.com/learning/paths/develop-critical-thinking-decision-making-and-problem-solving-skills?trk=ondemandfile" TargetMode="External"/><Relationship Id="rId1034" Type="http://schemas.openxmlformats.org/officeDocument/2006/relationships/hyperlink" Target="https://www.linkedin.com/learning/financial-risk-management-reduce-risk?trk=ondemandfile" TargetMode="External"/><Relationship Id="rId2365" Type="http://schemas.openxmlformats.org/officeDocument/2006/relationships/hyperlink" Target="https://www.linkedin.com/learning/computer-and-text-neck-stretching-exercises?trk=ondemandfile" TargetMode="External"/><Relationship Id="rId200" Type="http://schemas.openxmlformats.org/officeDocument/2006/relationships/hyperlink" Target="https://www.linkedin.com/learning/how-to-inspire-and-develop-your-direct-reports?trk=ondemandfile" TargetMode="External"/><Relationship Id="rId684" Type="http://schemas.openxmlformats.org/officeDocument/2006/relationships/hyperlink" Target="https://www.linkedin.com/learning/cmo-foundations-measuring-marketing-effectiveness-roi?trk=ondemandfile" TargetMode="External"/><Relationship Id="rId1035" Type="http://schemas.openxmlformats.org/officeDocument/2006/relationships/hyperlink" Target="https://www.linkedin.com/learning/sap-accounts-payable-boot-camp?trk=ondemandfile" TargetMode="External"/><Relationship Id="rId2366" Type="http://schemas.openxmlformats.org/officeDocument/2006/relationships/hyperlink" Target="https://www.linkedin.com/learning/the-mindful-workday?trk=ondemandfile" TargetMode="External"/><Relationship Id="rId683" Type="http://schemas.openxmlformats.org/officeDocument/2006/relationships/hyperlink" Target="https://www.linkedin.com/learning/the-definitive-drucker-getabstract-summary?trk=ondemandfile" TargetMode="External"/><Relationship Id="rId1036" Type="http://schemas.openxmlformats.org/officeDocument/2006/relationships/hyperlink" Target="https://www.linkedin.com/learning/contracting-for-consultants?trk=ondemandfile" TargetMode="External"/><Relationship Id="rId2367" Type="http://schemas.openxmlformats.org/officeDocument/2006/relationships/hyperlink" Target="https://www.linkedin.com/learning/creating-technology-boundaries-for-your-phone?trk=ondemandfile" TargetMode="External"/><Relationship Id="rId1026" Type="http://schemas.openxmlformats.org/officeDocument/2006/relationships/hyperlink" Target="https://www.linkedin.com/learning/developing-investment-acumen?trk=ondemandfile" TargetMode="External"/><Relationship Id="rId2357" Type="http://schemas.openxmlformats.org/officeDocument/2006/relationships/hyperlink" Target="https://www.linkedin.com/learning/chair-work-yoga-fitness-and-stretching-at-your-desk?trk=ondemandfile" TargetMode="External"/><Relationship Id="rId1027" Type="http://schemas.openxmlformats.org/officeDocument/2006/relationships/hyperlink" Target="https://www.linkedin.com/learning/financial-record-keeping?trk=ondemandfile" TargetMode="External"/><Relationship Id="rId2358" Type="http://schemas.openxmlformats.org/officeDocument/2006/relationships/hyperlink" Target="https://www.linkedin.com/learning/how-to-slash-anxiety-and-keep-positivity-flowing?trk=ondemandfile" TargetMode="External"/><Relationship Id="rId1028" Type="http://schemas.openxmlformats.org/officeDocument/2006/relationships/hyperlink" Target="https://www.linkedin.com/learning/financial-modeling?trk=ondemandfile" TargetMode="External"/><Relationship Id="rId2359" Type="http://schemas.openxmlformats.org/officeDocument/2006/relationships/hyperlink" Target="https://www.linkedin.com/learning/teaching-civility-in-the-workplace?trk=ondemandfile" TargetMode="External"/><Relationship Id="rId1029" Type="http://schemas.openxmlformats.org/officeDocument/2006/relationships/hyperlink" Target="https://www.linkedin.com/learning/activity-based-costing?trk=ondemandfile" TargetMode="External"/><Relationship Id="rId679" Type="http://schemas.openxmlformats.org/officeDocument/2006/relationships/hyperlink" Target="https://www.linkedin.com/learning/ux-deep-dive-remote-research?trk=ondemandfile" TargetMode="External"/><Relationship Id="rId678" Type="http://schemas.openxmlformats.org/officeDocument/2006/relationships/hyperlink" Target="https://www.linkedin.com/learning/finding-creativity-in-uncertain-times?trk=contentmappingfile" TargetMode="External"/><Relationship Id="rId677" Type="http://schemas.openxmlformats.org/officeDocument/2006/relationships/hyperlink" Target="https://www.linkedin.com/learning/unique-ways-to-generate-creative-ideas?trk=contentmappingfile" TargetMode="External"/><Relationship Id="rId676" Type="http://schemas.openxmlformats.org/officeDocument/2006/relationships/hyperlink" Target="https://www.linkedin.com/learning/productive-creativity?trk=ondemandfile" TargetMode="External"/><Relationship Id="rId671" Type="http://schemas.openxmlformats.org/officeDocument/2006/relationships/hyperlink" Target="https://www.linkedin.com/learning/unlocking-creativity-blinkist-summary?trk=ondemandfile" TargetMode="External"/><Relationship Id="rId670" Type="http://schemas.openxmlformats.org/officeDocument/2006/relationships/hyperlink" Target="https://www.linkedin.com/learning/branding-strategy-define-your-creative-edge?trk=ondemandfile" TargetMode="External"/><Relationship Id="rId2350" Type="http://schemas.openxmlformats.org/officeDocument/2006/relationships/hyperlink" Target="https://www.linkedin.com/learning/staying-positive-in-the-face-of-negativity?trk=ondemandfile" TargetMode="External"/><Relationship Id="rId1020" Type="http://schemas.openxmlformats.org/officeDocument/2006/relationships/hyperlink" Target="https://www.linkedin.com/learning/quickbooks-pro-2019-essential-training?trk=ondemandfile" TargetMode="External"/><Relationship Id="rId2351" Type="http://schemas.openxmlformats.org/officeDocument/2006/relationships/hyperlink" Target="https://www.linkedin.com/learning/cultivate-healthy-ambition?trk=ondemandfile" TargetMode="External"/><Relationship Id="rId1021" Type="http://schemas.openxmlformats.org/officeDocument/2006/relationships/hyperlink" Target="https://www.linkedin.com/learning/financial-accounting-part-2?trk=ondemandfile" TargetMode="External"/><Relationship Id="rId2352" Type="http://schemas.openxmlformats.org/officeDocument/2006/relationships/hyperlink" Target="https://www.linkedin.com/learning/overcoming-overw-helm?trk=ondemandfile" TargetMode="External"/><Relationship Id="rId675" Type="http://schemas.openxmlformats.org/officeDocument/2006/relationships/hyperlink" Target="https://www.linkedin.com/learning/creative-confidence-blinkist-summary?trk=ondemandfile" TargetMode="External"/><Relationship Id="rId1022" Type="http://schemas.openxmlformats.org/officeDocument/2006/relationships/hyperlink" Target="https://www.linkedin.com/learning/finance-foundations-risk-management?trk=ondemandfile" TargetMode="External"/><Relationship Id="rId2353" Type="http://schemas.openxmlformats.org/officeDocument/2006/relationships/hyperlink" Target="https://www.linkedin.com/learning/finding-and-doing-the-one-thing?trk=ondemandfile" TargetMode="External"/><Relationship Id="rId674" Type="http://schemas.openxmlformats.org/officeDocument/2006/relationships/hyperlink" Target="https://www.linkedin.com/learning/creativity-at-work-a-short-course-from-seth-godin?trk=ondemandfile" TargetMode="External"/><Relationship Id="rId1023" Type="http://schemas.openxmlformats.org/officeDocument/2006/relationships/hyperlink" Target="https://www.linkedin.com/learning/financial-accounting-part-1?trk=ondemandfile" TargetMode="External"/><Relationship Id="rId2354" Type="http://schemas.openxmlformats.org/officeDocument/2006/relationships/hyperlink" Target="https://www.linkedin.com/learning/well-being-in-the-workplace?trk=ondemandfile" TargetMode="External"/><Relationship Id="rId673" Type="http://schemas.openxmlformats.org/officeDocument/2006/relationships/hyperlink" Target="https://www.linkedin.com/learning/conducting-a-swot-analysis?trk=ondemandfile" TargetMode="External"/><Relationship Id="rId1024" Type="http://schemas.openxmlformats.org/officeDocument/2006/relationships/hyperlink" Target="https://www.linkedin.com/learning/analyzing-a-real-estate-deal?trk=ondemandfile" TargetMode="External"/><Relationship Id="rId2355" Type="http://schemas.openxmlformats.org/officeDocument/2006/relationships/hyperlink" Target="https://www.linkedin.com/learning/managing-self-doubt-to-tackle-bigger-challenges?trk=ondemandfile" TargetMode="External"/><Relationship Id="rId672" Type="http://schemas.openxmlformats.org/officeDocument/2006/relationships/hyperlink" Target="https://www.linkedin.com/learning/design-thinking-understanding-the-process?trk=ondemandfile" TargetMode="External"/><Relationship Id="rId1025" Type="http://schemas.openxmlformats.org/officeDocument/2006/relationships/hyperlink" Target="https://www.linkedin.com/learning/economics-for-everyone-understanding-a-recession?trk=ondemandfile" TargetMode="External"/><Relationship Id="rId2356" Type="http://schemas.openxmlformats.org/officeDocument/2006/relationships/hyperlink" Target="https://www.linkedin.com/learning/using-your-mind-to-change-your-brain?trk=ondemandfile" TargetMode="External"/><Relationship Id="rId190" Type="http://schemas.openxmlformats.org/officeDocument/2006/relationships/hyperlink" Target="https://www.linkedin.com/learning/making-hybrid-teams-work?trk=ondemandfile" TargetMode="External"/><Relationship Id="rId194" Type="http://schemas.openxmlformats.org/officeDocument/2006/relationships/hyperlink" Target="https://www.linkedin.com/learning/motivating-your-team-to-learn?trk=ondemandfile" TargetMode="External"/><Relationship Id="rId193" Type="http://schemas.openxmlformats.org/officeDocument/2006/relationships/hyperlink" Target="https://www.linkedin.com/learning/the-ideal-team-player-getabstract-summary?trk=ondemandfile" TargetMode="External"/><Relationship Id="rId192" Type="http://schemas.openxmlformats.org/officeDocument/2006/relationships/hyperlink" Target="https://www.linkedin.com/learning/work-on-purpose?trk=ondemandfile" TargetMode="External"/><Relationship Id="rId191" Type="http://schemas.openxmlformats.org/officeDocument/2006/relationships/hyperlink" Target="https://www.linkedin.com/learning/advanced-remote-work-strategies?trk=ondemandfile" TargetMode="External"/><Relationship Id="rId187" Type="http://schemas.openxmlformats.org/officeDocument/2006/relationships/hyperlink" Target="https://www.linkedin.com/learning/be-a-better-manager-by-motivating-your-team?trk=ondemandfile" TargetMode="External"/><Relationship Id="rId186" Type="http://schemas.openxmlformats.org/officeDocument/2006/relationships/hyperlink" Target="https://www.linkedin.com/learning/succeeding-as-a-first-time-t-ech-manager?trk=ondemandfile" TargetMode="External"/><Relationship Id="rId185" Type="http://schemas.openxmlformats.org/officeDocument/2006/relationships/hyperlink" Target="https://www.linkedin.com/learning/managing-for-better-ideas?trk=ondemandfile" TargetMode="External"/><Relationship Id="rId184" Type="http://schemas.openxmlformats.org/officeDocument/2006/relationships/hyperlink" Target="https://www.linkedin.com/learning/having-career-conversations-with-your-team?trk=ondemandfile" TargetMode="External"/><Relationship Id="rId189" Type="http://schemas.openxmlformats.org/officeDocument/2006/relationships/hyperlink" Target="https://www.linkedin.com/learning/strategies-for-effective-leadership-teams?trk=ondemandfile" TargetMode="External"/><Relationship Id="rId188" Type="http://schemas.openxmlformats.org/officeDocument/2006/relationships/hyperlink" Target="https://www.linkedin.com/learning/a-strengths-based-approach-to-managing-your-team?trk=ondemandfile" TargetMode="External"/><Relationship Id="rId183" Type="http://schemas.openxmlformats.org/officeDocument/2006/relationships/hyperlink" Target="https://www.linkedin.com/learning/practicing-fairness-as-a-manager?trk=ondemandfile" TargetMode="External"/><Relationship Id="rId182" Type="http://schemas.openxmlformats.org/officeDocument/2006/relationships/hyperlink" Target="https://www.linkedin.com/learning/managing-team-conflict?trk=ondemandfile" TargetMode="External"/><Relationship Id="rId181" Type="http://schemas.openxmlformats.org/officeDocument/2006/relationships/hyperlink" Target="https://www.linkedin.com/learning/managing-a-diverse-team?trk=ondemandfile" TargetMode="External"/><Relationship Id="rId180" Type="http://schemas.openxmlformats.org/officeDocument/2006/relationships/hyperlink" Target="https://www.linkedin.com/learning/managing-a-cross-functional-team?trk=ondemandfile" TargetMode="External"/><Relationship Id="rId176" Type="http://schemas.openxmlformats.org/officeDocument/2006/relationships/hyperlink" Target="https://www.linkedin.com/learning/building-high-performance-teams?trk=ondemandfile" TargetMode="External"/><Relationship Id="rId175" Type="http://schemas.openxmlformats.org/officeDocument/2006/relationships/hyperlink" Target="https://www.linkedin.com/learning/becoming-a-manager-your-team-loves?trk=ondemandfile" TargetMode="External"/><Relationship Id="rId174" Type="http://schemas.openxmlformats.org/officeDocument/2006/relationships/hyperlink" Target="https://www.linkedin.com/learning/leading-inclusive-teams?trk=ondemandfile" TargetMode="External"/><Relationship Id="rId173" Type="http://schemas.openxmlformats.org/officeDocument/2006/relationships/hyperlink" Target="https://www.linkedin.com/learning/motivating-and-engaging-employees-2?trk=ondemandfile" TargetMode="External"/><Relationship Id="rId179" Type="http://schemas.openxmlformats.org/officeDocument/2006/relationships/hyperlink" Target="https://www.linkedin.com/learning/leading-and-working-in-teams?trk=ondemandfile" TargetMode="External"/><Relationship Id="rId178" Type="http://schemas.openxmlformats.org/officeDocument/2006/relationships/hyperlink" Target="https://www.linkedin.com/learning/facilitation-skills-for-managers-and-leaders?trk=ondemandfile" TargetMode="External"/><Relationship Id="rId177" Type="http://schemas.openxmlformats.org/officeDocument/2006/relationships/hyperlink" Target="https://www.linkedin.com/learning/developing-leaders-on-your-team?trk=ondemandfile" TargetMode="External"/><Relationship Id="rId1910" Type="http://schemas.openxmlformats.org/officeDocument/2006/relationships/hyperlink" Target="https://www.linkedin.com/learning/introduction-to-forgiveness-meditation?trk=ondemandfile" TargetMode="External"/><Relationship Id="rId1911" Type="http://schemas.openxmlformats.org/officeDocument/2006/relationships/hyperlink" Target="https://www.linkedin.com/learning/introduction-to-visualization-meditation?trk=ondemandfile" TargetMode="External"/><Relationship Id="rId1912" Type="http://schemas.openxmlformats.org/officeDocument/2006/relationships/hyperlink" Target="https://www.linkedin.com/learning/mindful-leadership?trk=ondemandfile" TargetMode="External"/><Relationship Id="rId1913" Type="http://schemas.openxmlformats.org/officeDocument/2006/relationships/hyperlink" Target="https://www.linkedin.com/learning/creating-flow?trk=ondemandfile" TargetMode="External"/><Relationship Id="rId1914" Type="http://schemas.openxmlformats.org/officeDocument/2006/relationships/hyperlink" Target="https://www.linkedin.com/learning/overcoming-rejection?trk=ondemandfile" TargetMode="External"/><Relationship Id="rId1915" Type="http://schemas.openxmlformats.org/officeDocument/2006/relationships/hyperlink" Target="https://www.linkedin.com/learning/the-52-best-sales-prospecting-tips?trk=ondemandfile" TargetMode="External"/><Relationship Id="rId1916" Type="http://schemas.openxmlformats.org/officeDocument/2006/relationships/hyperlink" Target="https://www.linkedin.com/learning/sales-time-management?trk=ondemandfile" TargetMode="External"/><Relationship Id="rId1917" Type="http://schemas.openxmlformats.org/officeDocument/2006/relationships/hyperlink" Target="https://www.linkedin.com/learning/how-to-prepare-for-your-negotiations?trk=ondemandfile" TargetMode="External"/><Relationship Id="rId1918" Type="http://schemas.openxmlformats.org/officeDocument/2006/relationships/hyperlink" Target="https://www.linkedin.com/learning/three-tips-for-dealing-with-deception-in-negotiations?trk=ondemandfile" TargetMode="External"/><Relationship Id="rId1919" Type="http://schemas.openxmlformats.org/officeDocument/2006/relationships/hyperlink" Target="https://www.linkedin.com/learning/the-top-three-negotiation-myths?trk=ondemandfile" TargetMode="External"/><Relationship Id="rId1900" Type="http://schemas.openxmlformats.org/officeDocument/2006/relationships/hyperlink" Target="https://www.linkedin.com/learning/cold-calling-business-leaders?trk=ondemandfile" TargetMode="External"/><Relationship Id="rId1901" Type="http://schemas.openxmlformats.org/officeDocument/2006/relationships/hyperlink" Target="https://www.linkedin.com/learning/mastering-authentic-influence-for-highly-successful-sales?trk=ondemandfile" TargetMode="External"/><Relationship Id="rId1902" Type="http://schemas.openxmlformats.org/officeDocument/2006/relationships/hyperlink" Target="https://www.linkedin.com/learning/how-to-make-work-more-meaningful?trk=ondemandfile" TargetMode="External"/><Relationship Id="rId1903" Type="http://schemas.openxmlformats.org/officeDocument/2006/relationships/hyperlink" Target="https://www.linkedin.com/learning/mindful-productivity?trk=ondemandfile" TargetMode="External"/><Relationship Id="rId1904" Type="http://schemas.openxmlformats.org/officeDocument/2006/relationships/hyperlink" Target="https://www.linkedin.com/learning/embracing-change-with-mindfulness?trk=ondemandfile" TargetMode="External"/><Relationship Id="rId1905" Type="http://schemas.openxmlformats.org/officeDocument/2006/relationships/hyperlink" Target="https://www.linkedin.com/learning/winding-down-get-a-better-night-s-sleep?trk=ondemandfile" TargetMode="External"/><Relationship Id="rId1906" Type="http://schemas.openxmlformats.org/officeDocument/2006/relationships/hyperlink" Target="https://www.linkedin.com/learning/mindful-stress-management?trk=ondemandfile" TargetMode="External"/><Relationship Id="rId1907" Type="http://schemas.openxmlformats.org/officeDocument/2006/relationships/hyperlink" Target="https://www.linkedin.com/learning/introduction-to-gratitude-meditation?trk=ondemandfile" TargetMode="External"/><Relationship Id="rId1908" Type="http://schemas.openxmlformats.org/officeDocument/2006/relationships/hyperlink" Target="https://www.linkedin.com/learning/introduction-to-mind-like-sky-meditation?trk=ondemandfile" TargetMode="External"/><Relationship Id="rId1909" Type="http://schemas.openxmlformats.org/officeDocument/2006/relationships/hyperlink" Target="https://www.linkedin.com/learning/introduction-to-loving-kindness-meditation?trk=ondemandfile" TargetMode="External"/><Relationship Id="rId198" Type="http://schemas.openxmlformats.org/officeDocument/2006/relationships/hyperlink" Target="https://www.linkedin.com/learning/leading-remote-projects-and-virtual-teams?trk=ondemandfile" TargetMode="External"/><Relationship Id="rId197" Type="http://schemas.openxmlformats.org/officeDocument/2006/relationships/hyperlink" Target="https://www.linkedin.com/learning/creating-a-culture-of-learning-2?trk=ondemandfile" TargetMode="External"/><Relationship Id="rId196" Type="http://schemas.openxmlformats.org/officeDocument/2006/relationships/hyperlink" Target="https://www.linkedin.com/learning/teamwork-foundations-2020?trk=ondemandfile" TargetMode="External"/><Relationship Id="rId195" Type="http://schemas.openxmlformats.org/officeDocument/2006/relationships/hyperlink" Target="https://www.linkedin.com/learning/the-six-morning-habits-of-high-performers?trk=ondemandfile" TargetMode="External"/><Relationship Id="rId199" Type="http://schemas.openxmlformats.org/officeDocument/2006/relationships/hyperlink" Target="https://www.linkedin.com/learning/communication-within-teams?trk=ondemandfile" TargetMode="External"/><Relationship Id="rId150" Type="http://schemas.openxmlformats.org/officeDocument/2006/relationships/hyperlink" Target="https://www.linkedin.com/learning/paths/build-and-manage-effective-teams?trk=ondemandfile" TargetMode="External"/><Relationship Id="rId149" Type="http://schemas.openxmlformats.org/officeDocument/2006/relationships/hyperlink" Target="https://www.linkedin.com/learning/the-new-rules-of-work?trk=ondemandfile" TargetMode="External"/><Relationship Id="rId148" Type="http://schemas.openxmlformats.org/officeDocument/2006/relationships/hyperlink" Target="https://www.linkedin.com/learning/paths/build-a-company-learning-and-development-program?trk=ondemandfile" TargetMode="External"/><Relationship Id="rId1090" Type="http://schemas.openxmlformats.org/officeDocument/2006/relationships/hyperlink" Target="https://www.linkedin.com/learning/finding-and-retaining-high-potentials-9018297?trk=ondemandfile" TargetMode="External"/><Relationship Id="rId1091" Type="http://schemas.openxmlformats.org/officeDocument/2006/relationships/hyperlink" Target="https://www.linkedin.com/learning/paths/finding-and-retaining-talent?trk=ondemandfile" TargetMode="External"/><Relationship Id="rId1092" Type="http://schemas.openxmlformats.org/officeDocument/2006/relationships/hyperlink" Target="https://www.linkedin.com/learning/hr-providing-flexible-work-options?trk=ondemandfile" TargetMode="External"/><Relationship Id="rId1093" Type="http://schemas.openxmlformats.org/officeDocument/2006/relationships/hyperlink" Target="https://www.linkedin.com/learning/employee-engagement?trk=ondemandfile" TargetMode="External"/><Relationship Id="rId1094" Type="http://schemas.openxmlformats.org/officeDocument/2006/relationships/hyperlink" Target="https://www.linkedin.com/learning/human-resources-building-a-performance-management-system?trk=ondemandfile" TargetMode="External"/><Relationship Id="rId143" Type="http://schemas.openxmlformats.org/officeDocument/2006/relationships/hyperlink" Target="https://www.linkedin.com/learning/reframing-the-power-of-changing-your-perspective?trk=ondemandfile" TargetMode="External"/><Relationship Id="rId1095" Type="http://schemas.openxmlformats.org/officeDocument/2006/relationships/hyperlink" Target="https://www.linkedin.com/learning/crisis-communication-for-hr?trk=ondemandfile" TargetMode="External"/><Relationship Id="rId142" Type="http://schemas.openxmlformats.org/officeDocument/2006/relationships/hyperlink" Target="https://www.linkedin.com/learning/enhance-productivity-in-a-hybrid-work-environment?trk=ondemandfile" TargetMode="External"/><Relationship Id="rId1096" Type="http://schemas.openxmlformats.org/officeDocument/2006/relationships/hyperlink" Target="https://www.linkedin.com/learning/planning-for-your-hybrid-organization?trk=ondemandfile" TargetMode="External"/><Relationship Id="rId141" Type="http://schemas.openxmlformats.org/officeDocument/2006/relationships/hyperlink" Target="https://www.linkedin.com/learning/working-from-home-strategies-for-success?trk=ondemandfile" TargetMode="External"/><Relationship Id="rId1097" Type="http://schemas.openxmlformats.org/officeDocument/2006/relationships/hyperlink" Target="https://www.linkedin.com/learning/onboarding-new-hires-as-a-manager?trk=ondemandfile" TargetMode="External"/><Relationship Id="rId140" Type="http://schemas.openxmlformats.org/officeDocument/2006/relationships/hyperlink" Target="https://www.linkedin.com/learning/avoid-career-burnout?trk=ondemandfile" TargetMode="External"/><Relationship Id="rId1098" Type="http://schemas.openxmlformats.org/officeDocument/2006/relationships/hyperlink" Target="https://www.linkedin.com/learning/nonprofit-foundations?trk=ondemandfile" TargetMode="External"/><Relationship Id="rId147" Type="http://schemas.openxmlformats.org/officeDocument/2006/relationships/hyperlink" Target="https://www.linkedin.com/learning/cmo-foundations-creating-a-marketing-culture?trk=ondemandfile" TargetMode="External"/><Relationship Id="rId1099" Type="http://schemas.openxmlformats.org/officeDocument/2006/relationships/hyperlink" Target="https://www.linkedin.com/learning/hiring-an-employee-for-managers?trk=ondemandfile" TargetMode="External"/><Relationship Id="rId146" Type="http://schemas.openxmlformats.org/officeDocument/2006/relationships/hyperlink" Target="https://www.linkedin.com/learning/cultivating-mental-agility?trk=ondemandfile" TargetMode="External"/><Relationship Id="rId145" Type="http://schemas.openxmlformats.org/officeDocument/2006/relationships/hyperlink" Target="https://www.linkedin.com/learning/adaptive-project-leadership?trk=ondemandfile" TargetMode="External"/><Relationship Id="rId144" Type="http://schemas.openxmlformats.org/officeDocument/2006/relationships/hyperlink" Target="https://www.linkedin.com/learning/reshuffle-a-special-series-on-the-new-world-of-work?trk=ondemandfile" TargetMode="External"/><Relationship Id="rId139" Type="http://schemas.openxmlformats.org/officeDocument/2006/relationships/hyperlink" Target="https://www.linkedin.com/learning/balancing-work-and-life-as-a-work-from-home-parent?trk=ondemandfile" TargetMode="External"/><Relationship Id="rId138" Type="http://schemas.openxmlformats.org/officeDocument/2006/relationships/hyperlink" Target="https://www.linkedin.com/learning/how-to-be-adaptable-as-an-employee?trk=ondemandfile" TargetMode="External"/><Relationship Id="rId137" Type="http://schemas.openxmlformats.org/officeDocument/2006/relationships/hyperlink" Target="https://www.linkedin.com/learning/powerless-to-powerful-taking-control?trk=ondemandfile" TargetMode="External"/><Relationship Id="rId1080" Type="http://schemas.openxmlformats.org/officeDocument/2006/relationships/hyperlink" Target="https://www.linkedin.com/learning/organizational-learning-and-development?trk=ondemandfile" TargetMode="External"/><Relationship Id="rId1081" Type="http://schemas.openxmlformats.org/officeDocument/2006/relationships/hyperlink" Target="https://www.linkedin.com/learning/paths/become-a-technical-recruiter?trk=ondemandfile" TargetMode="External"/><Relationship Id="rId1082" Type="http://schemas.openxmlformats.org/officeDocument/2006/relationships/hyperlink" Target="https://www.linkedin.com/learning/360-degree-feedback?trk=ondemandfile" TargetMode="External"/><Relationship Id="rId1083" Type="http://schemas.openxmlformats.org/officeDocument/2006/relationships/hyperlink" Target="https://www.linkedin.com/learning/paths/build-a-more-equitable-and-inclusive-workplace?trk=ondemandfile" TargetMode="External"/><Relationship Id="rId132" Type="http://schemas.openxmlformats.org/officeDocument/2006/relationships/hyperlink" Target="https://www.linkedin.com/learning/learning-from-failure?trk=ondemandfile" TargetMode="External"/><Relationship Id="rId1084" Type="http://schemas.openxmlformats.org/officeDocument/2006/relationships/hyperlink" Target="https://www.linkedin.com/learning/hr-and-digital-transformation?trk=ondemandfile" TargetMode="External"/><Relationship Id="rId131" Type="http://schemas.openxmlformats.org/officeDocument/2006/relationships/hyperlink" Target="https://www.linkedin.com/learning/building-resilience?trk=ondemandfile" TargetMode="External"/><Relationship Id="rId1085" Type="http://schemas.openxmlformats.org/officeDocument/2006/relationships/hyperlink" Target="https://www.linkedin.com/learning/paths/build-your-skills-in-recruiting?trk=ondemandfile" TargetMode="External"/><Relationship Id="rId130" Type="http://schemas.openxmlformats.org/officeDocument/2006/relationships/hyperlink" Target="https://www.linkedin.com/learning/managing-employee-stress-for-positive-change?trk=ondemandfile" TargetMode="External"/><Relationship Id="rId1086" Type="http://schemas.openxmlformats.org/officeDocument/2006/relationships/hyperlink" Target="https://www.linkedin.com/learning/managing-new-managers?trk=ondemandfile" TargetMode="External"/><Relationship Id="rId1087" Type="http://schemas.openxmlformats.org/officeDocument/2006/relationships/hyperlink" Target="https://www.linkedin.com/learning/paths/develop-your-hr-management-and-leadership-skills?trk=ondemandfile" TargetMode="External"/><Relationship Id="rId136" Type="http://schemas.openxmlformats.org/officeDocument/2006/relationships/hyperlink" Target="https://www.linkedin.com/learning/embracing-change-2019?trk=ondemandfile" TargetMode="External"/><Relationship Id="rId1088" Type="http://schemas.openxmlformats.org/officeDocument/2006/relationships/hyperlink" Target="https://www.linkedin.com/learning/hr-leadership-as-we-move-back-into-the-office?trk=ondemandfile" TargetMode="External"/><Relationship Id="rId135" Type="http://schemas.openxmlformats.org/officeDocument/2006/relationships/hyperlink" Target="https://www.linkedin.com/learning/delivering-results-effectively?trk=ondemandfile" TargetMode="External"/><Relationship Id="rId1089" Type="http://schemas.openxmlformats.org/officeDocument/2006/relationships/hyperlink" Target="https://www.linkedin.com/learning/paths/stay-ahead-in-all-things-dibs?trk=ondemandfile" TargetMode="External"/><Relationship Id="rId134" Type="http://schemas.openxmlformats.org/officeDocument/2006/relationships/hyperlink" Target="https://www.linkedin.com/learning/cultivating-a-growth-mindset?trk=ondemandfile" TargetMode="External"/><Relationship Id="rId133" Type="http://schemas.openxmlformats.org/officeDocument/2006/relationships/hyperlink" Target="https://www.linkedin.com/learning/enhancing-resilience?trk=ondemandfile" TargetMode="External"/><Relationship Id="rId172" Type="http://schemas.openxmlformats.org/officeDocument/2006/relationships/hyperlink" Target="https://www.linkedin.com/learning/managing-virtual-teams-2019?trk=ondemandfile" TargetMode="External"/><Relationship Id="rId171" Type="http://schemas.openxmlformats.org/officeDocument/2006/relationships/hyperlink" Target="https://www.linkedin.com/learning/coaching-and-developing-employees-2019?trk=ondemandfile" TargetMode="External"/><Relationship Id="rId170" Type="http://schemas.openxmlformats.org/officeDocument/2006/relationships/hyperlink" Target="https://www.linkedin.com/learning/leading-virtual-meetings?trk=ondemandfile" TargetMode="External"/><Relationship Id="rId165" Type="http://schemas.openxmlformats.org/officeDocument/2006/relationships/hyperlink" Target="https://www.linkedin.com/learning/the-practices-of-high-performing-employees?trk=ondemandfile" TargetMode="External"/><Relationship Id="rId164" Type="http://schemas.openxmlformats.org/officeDocument/2006/relationships/hyperlink" Target="https://www.linkedin.com/learning/culture-of-kaizen?trk=ondemandfile" TargetMode="External"/><Relationship Id="rId163" Type="http://schemas.openxmlformats.org/officeDocument/2006/relationships/hyperlink" Target="https://www.linkedin.com/learning/how-to-set-team-and-employee-goals?trk=ondemandfile" TargetMode="External"/><Relationship Id="rId162" Type="http://schemas.openxmlformats.org/officeDocument/2006/relationships/hyperlink" Target="https://www.linkedin.com/learning/build-your-team?trk=ondemandfile" TargetMode="External"/><Relationship Id="rId169" Type="http://schemas.openxmlformats.org/officeDocument/2006/relationships/hyperlink" Target="https://www.linkedin.com/learning/virtual-and-hybrid-meeting-essentials?trk=ondemandfile" TargetMode="External"/><Relationship Id="rId168" Type="http://schemas.openxmlformats.org/officeDocument/2006/relationships/hyperlink" Target="https://www.linkedin.com/learning/identify-and-unleash-potential-in-your-employees?trk=ondemandfile" TargetMode="External"/><Relationship Id="rId167" Type="http://schemas.openxmlformats.org/officeDocument/2006/relationships/hyperlink" Target="https://www.linkedin.com/learning/productive-leadership?trk=ondemandfile" TargetMode="External"/><Relationship Id="rId166" Type="http://schemas.openxmlformats.org/officeDocument/2006/relationships/hyperlink" Target="https://www.linkedin.com/learning/how-to-give-and-receive-useful-feedback-every-month?trk=ondemandfile" TargetMode="External"/><Relationship Id="rId161" Type="http://schemas.openxmlformats.org/officeDocument/2006/relationships/hyperlink" Target="https://www.linkedin.com/learning/managing-new-managers?trk=ondemandfile" TargetMode="External"/><Relationship Id="rId160" Type="http://schemas.openxmlformats.org/officeDocument/2006/relationships/hyperlink" Target="https://www.linkedin.com/learning/communicating-to-drive-people-to-take-action?trk=ondemandfile" TargetMode="External"/><Relationship Id="rId159" Type="http://schemas.openxmlformats.org/officeDocument/2006/relationships/hyperlink" Target="https://www.linkedin.com/learning/rewarding-employee-performance?trk=ondemandfile" TargetMode="External"/><Relationship Id="rId154" Type="http://schemas.openxmlformats.org/officeDocument/2006/relationships/hyperlink" Target="https://www.linkedin.com/learning/paths/improve-your-coaching-skills-as-a-manager?trk=ondemandfile" TargetMode="External"/><Relationship Id="rId153" Type="http://schemas.openxmlformats.org/officeDocument/2006/relationships/hyperlink" Target="https://www.linkedin.com/learning/doing-good-to-build-a-profitable-business?trk=ondemandfile" TargetMode="External"/><Relationship Id="rId152" Type="http://schemas.openxmlformats.org/officeDocument/2006/relationships/hyperlink" Target="https://www.linkedin.com/learning/paths/fostering-collaboration?trk=ondemandfile" TargetMode="External"/><Relationship Id="rId151" Type="http://schemas.openxmlformats.org/officeDocument/2006/relationships/hyperlink" Target="https://www.linkedin.com/learning/reid-hoffman-and-chris-yeh-on-creating-an-alliance-with-employees?trk=ondemandfile" TargetMode="External"/><Relationship Id="rId158" Type="http://schemas.openxmlformats.org/officeDocument/2006/relationships/hyperlink" Target="https://www.linkedin.com/learning/paths/improve-your-teamwork-skills?trk=ondemandfile" TargetMode="External"/><Relationship Id="rId157" Type="http://schemas.openxmlformats.org/officeDocument/2006/relationships/hyperlink" Target="https://www.linkedin.com/learning/the-long-distance-leader-getabstract-summary?trk=ondemandfile" TargetMode="External"/><Relationship Id="rId156" Type="http://schemas.openxmlformats.org/officeDocument/2006/relationships/hyperlink" Target="https://www.linkedin.com/learning/paths/managing-performance?trk=ondemandfile" TargetMode="External"/><Relationship Id="rId155" Type="http://schemas.openxmlformats.org/officeDocument/2006/relationships/hyperlink" Target="https://www.linkedin.com/learning/creating-a-high-performance-culture?trk=ondemandfile" TargetMode="External"/><Relationship Id="rId1972" Type="http://schemas.openxmlformats.org/officeDocument/2006/relationships/hyperlink" Target="https://www.linkedin.com/learning/paths/become-a-business-unit-manager-2?trk=ondemandfile" TargetMode="External"/><Relationship Id="rId1973" Type="http://schemas.openxmlformats.org/officeDocument/2006/relationships/hyperlink" Target="https://www.linkedin.com/learning/creating-your-it-strategy?trk=ondemandfile" TargetMode="External"/><Relationship Id="rId1974" Type="http://schemas.openxmlformats.org/officeDocument/2006/relationships/hyperlink" Target="https://www.linkedin.com/learning/paths/become-a-corporate-financial-planning-analyst?trk=ondemandfile" TargetMode="External"/><Relationship Id="rId1975" Type="http://schemas.openxmlformats.org/officeDocument/2006/relationships/hyperlink" Target="https://www.linkedin.com/learning/implementing-your-it-strategy?trk=ondemandfile" TargetMode="External"/><Relationship Id="rId1976" Type="http://schemas.openxmlformats.org/officeDocument/2006/relationships/hyperlink" Target="https://www.linkedin.com/learning/paths/become-a-content-strategist-2?trk=ondemandfile" TargetMode="External"/><Relationship Id="rId1977" Type="http://schemas.openxmlformats.org/officeDocument/2006/relationships/hyperlink" Target="https://www.linkedin.com/learning/digital-transformation-2?trk=ondemandfile" TargetMode="External"/><Relationship Id="rId1978" Type="http://schemas.openxmlformats.org/officeDocument/2006/relationships/hyperlink" Target="https://www.linkedin.com/learning/paths/build-essential-data-skills?trk=ondemandfile" TargetMode="External"/><Relationship Id="rId1979" Type="http://schemas.openxmlformats.org/officeDocument/2006/relationships/hyperlink" Target="https://www.linkedin.com/learning/assessing-digital-maturity?trk=ondemandfile" TargetMode="External"/><Relationship Id="rId1970" Type="http://schemas.openxmlformats.org/officeDocument/2006/relationships/hyperlink" Target="https://www.linkedin.com/learning/paths/become-a-business-operations-associate?trk=ondemandfile" TargetMode="External"/><Relationship Id="rId1971" Type="http://schemas.openxmlformats.org/officeDocument/2006/relationships/hyperlink" Target="https://www.linkedin.com/learning/digital-strategy?trk=ondemandfile" TargetMode="External"/><Relationship Id="rId1961" Type="http://schemas.openxmlformats.org/officeDocument/2006/relationships/hyperlink" Target="https://www.linkedin.com/learning/just-ask-dean-karrel?trk=ondemandfile" TargetMode="External"/><Relationship Id="rId1962" Type="http://schemas.openxmlformats.org/officeDocument/2006/relationships/hyperlink" Target="https://www.linkedin.com/learning/sales-management-simplified-blinkist-summary?trk=ondemandfile" TargetMode="External"/><Relationship Id="rId1963" Type="http://schemas.openxmlformats.org/officeDocument/2006/relationships/hyperlink" Target="https://www.linkedin.com/learning/flip-the-script-a-toolkit-for-sellers-and-negotiators-blinkist-summary?trk=ondemandfile" TargetMode="External"/><Relationship Id="rId1964" Type="http://schemas.openxmlformats.org/officeDocument/2006/relationships/hyperlink" Target="https://www.linkedin.com/learning/how-to-create-a-life-of-meaning-and-purpose?trk=ondemandfile" TargetMode="External"/><Relationship Id="rId1965" Type="http://schemas.openxmlformats.org/officeDocument/2006/relationships/hyperlink" Target="https://www.linkedin.com/learning/creating-a-culture-of-change?trk=ondemandfile" TargetMode="External"/><Relationship Id="rId1966" Type="http://schemas.openxmlformats.org/officeDocument/2006/relationships/hyperlink" Target="https://www.linkedin.com/learning/paths/applying-lean-devops-and-agile-to-your-it-organization?trk=ondemandfile" TargetMode="External"/><Relationship Id="rId1967" Type="http://schemas.openxmlformats.org/officeDocument/2006/relationships/hyperlink" Target="https://www.linkedin.com/learning/creating-a-culture-of-strategy-execution?trk=ondemandfile" TargetMode="External"/><Relationship Id="rId1968" Type="http://schemas.openxmlformats.org/officeDocument/2006/relationships/hyperlink" Target="https://www.linkedin.com/learning/paths/become-a-business-analyst?trk=ondemandfile" TargetMode="External"/><Relationship Id="rId1969" Type="http://schemas.openxmlformats.org/officeDocument/2006/relationships/hyperlink" Target="https://www.linkedin.com/learning/global-strategy?trk=ondemandfile" TargetMode="External"/><Relationship Id="rId1960" Type="http://schemas.openxmlformats.org/officeDocument/2006/relationships/hyperlink" Target="https://www.linkedin.com/learning/running-a-design-business-writing-and-pricing-winning-proposals?trk=ondemandfile" TargetMode="External"/><Relationship Id="rId1510" Type="http://schemas.openxmlformats.org/officeDocument/2006/relationships/hyperlink" Target="https://www.linkedin.com/learning/leading-in-uncertain-times?trk=ondemandfile" TargetMode="External"/><Relationship Id="rId1994" Type="http://schemas.openxmlformats.org/officeDocument/2006/relationships/hyperlink" Target="https://www.linkedin.com/learning/organizational-thought-leadership?trk=ondemandfile" TargetMode="External"/><Relationship Id="rId1511" Type="http://schemas.openxmlformats.org/officeDocument/2006/relationships/hyperlink" Target="https://www.linkedin.com/learning/the-definitive-drucker-getabstract-summary?trk=ondemandfile" TargetMode="External"/><Relationship Id="rId1995" Type="http://schemas.openxmlformats.org/officeDocument/2006/relationships/hyperlink" Target="https://www.linkedin.com/learning/goal-setting-objectives-and-key-results-okrs?trk=ondemandfile" TargetMode="External"/><Relationship Id="rId1512" Type="http://schemas.openxmlformats.org/officeDocument/2006/relationships/hyperlink" Target="https://www.linkedin.com/learning/adaptive-leadership-for-vuca-challenges?trk=ondemandfile" TargetMode="External"/><Relationship Id="rId1996" Type="http://schemas.openxmlformats.org/officeDocument/2006/relationships/hyperlink" Target="https://www.linkedin.com/learning/strategic-partnerships?trk=ondemandfile" TargetMode="External"/><Relationship Id="rId1513" Type="http://schemas.openxmlformats.org/officeDocument/2006/relationships/hyperlink" Target="https://www.linkedin.com/learning/mastering-organizational-chaos?trk=ondemandfile" TargetMode="External"/><Relationship Id="rId1997" Type="http://schemas.openxmlformats.org/officeDocument/2006/relationships/hyperlink" Target="https://www.linkedin.com/learning/executive-decision-making?trk=ondemandfile" TargetMode="External"/><Relationship Id="rId1514" Type="http://schemas.openxmlformats.org/officeDocument/2006/relationships/hyperlink" Target="https://www.linkedin.com/learning/bill-george-on-self-awareness-authenticity-and-leadership?trk=ondemandfile" TargetMode="External"/><Relationship Id="rId1998" Type="http://schemas.openxmlformats.org/officeDocument/2006/relationships/hyperlink" Target="https://www.linkedin.com/learning/executive-leadership?trk=ondemandfile" TargetMode="External"/><Relationship Id="rId1515" Type="http://schemas.openxmlformats.org/officeDocument/2006/relationships/hyperlink" Target="https://www.linkedin.com/learning/fred-kofman-on-accountability?trk=ondemandfile" TargetMode="External"/><Relationship Id="rId1999" Type="http://schemas.openxmlformats.org/officeDocument/2006/relationships/hyperlink" Target="https://www.linkedin.com/learning/organizational-learning-and-development?trk=ondemandfile" TargetMode="External"/><Relationship Id="rId1516" Type="http://schemas.openxmlformats.org/officeDocument/2006/relationships/hyperlink" Target="https://www.linkedin.com/learning/leading-in-crisis?trk=ondemandfile" TargetMode="External"/><Relationship Id="rId1517" Type="http://schemas.openxmlformats.org/officeDocument/2006/relationships/hyperlink" Target="https://www.linkedin.com/learning/the-fearless-organization-blinkist-summary?trk=ondemandfile" TargetMode="External"/><Relationship Id="rId1518" Type="http://schemas.openxmlformats.org/officeDocument/2006/relationships/hyperlink" Target="https://www.linkedin.com/learning/what-s-next-reinventing-work-in-the-new-normal?trk=ondemandfile" TargetMode="External"/><Relationship Id="rId1519" Type="http://schemas.openxmlformats.org/officeDocument/2006/relationships/hyperlink" Target="https://www.linkedin.com/learning/leadership-in-tech?trk=ondemandfile" TargetMode="External"/><Relationship Id="rId1990" Type="http://schemas.openxmlformats.org/officeDocument/2006/relationships/hyperlink" Target="https://www.linkedin.com/learning/reid-hoffman-and-chris-yeh-on-blitzscaling?trk=ondemandfile" TargetMode="External"/><Relationship Id="rId1991" Type="http://schemas.openxmlformats.org/officeDocument/2006/relationships/hyperlink" Target="https://www.linkedin.com/learning/leading-with-vision?trk=ondemandfile" TargetMode="External"/><Relationship Id="rId1992" Type="http://schemas.openxmlformats.org/officeDocument/2006/relationships/hyperlink" Target="https://www.linkedin.com/learning/strategic-partnerships-ecosystems-and-platforms?trk=ondemandfile" TargetMode="External"/><Relationship Id="rId1993" Type="http://schemas.openxmlformats.org/officeDocument/2006/relationships/hyperlink" Target="https://www.linkedin.com/learning/digital-technologies-case-studies-ai-iot-robotics-blockchain?trk=ondemandfile" TargetMode="External"/><Relationship Id="rId1983" Type="http://schemas.openxmlformats.org/officeDocument/2006/relationships/hyperlink" Target="https://www.linkedin.com/learning/privacy-for-executives?trk=ondemandfile" TargetMode="External"/><Relationship Id="rId1500" Type="http://schemas.openxmlformats.org/officeDocument/2006/relationships/hyperlink" Target="https://www.linkedin.com/learning/leadership-skills-for-the-future?trk=ondemandfile" TargetMode="External"/><Relationship Id="rId1984" Type="http://schemas.openxmlformats.org/officeDocument/2006/relationships/hyperlink" Target="https://www.linkedin.com/learning/paths/managing-change?trk=ondemandfile" TargetMode="External"/><Relationship Id="rId1501" Type="http://schemas.openxmlformats.org/officeDocument/2006/relationships/hyperlink" Target="https://www.linkedin.com/learning/how-to-successfully-lead-a-pmo?trk=ondemandfile" TargetMode="External"/><Relationship Id="rId1985" Type="http://schemas.openxmlformats.org/officeDocument/2006/relationships/hyperlink" Target="https://www.linkedin.com/learning/mergers-acquisitions?trk=ondemandfile" TargetMode="External"/><Relationship Id="rId1502" Type="http://schemas.openxmlformats.org/officeDocument/2006/relationships/hyperlink" Target="https://www.linkedin.com/learning/leading-projects?trk=ondemandfile" TargetMode="External"/><Relationship Id="rId1986" Type="http://schemas.openxmlformats.org/officeDocument/2006/relationships/hyperlink" Target="https://www.linkedin.com/learning/competitive-strategy?trk=ondemandfile" TargetMode="External"/><Relationship Id="rId1503" Type="http://schemas.openxmlformats.org/officeDocument/2006/relationships/hyperlink" Target="https://www.linkedin.com/learning/leading-with-kindness-and-strength?trk=ondemandfile" TargetMode="External"/><Relationship Id="rId1987" Type="http://schemas.openxmlformats.org/officeDocument/2006/relationships/hyperlink" Target="https://www.linkedin.com/learning/designing-growth-strategies?trk=ondemandfile" TargetMode="External"/><Relationship Id="rId1504" Type="http://schemas.openxmlformats.org/officeDocument/2006/relationships/hyperlink" Target="https://www.linkedin.com/learning/powerless-to-powerful-taking-control?trk=ondemandfile" TargetMode="External"/><Relationship Id="rId1988" Type="http://schemas.openxmlformats.org/officeDocument/2006/relationships/hyperlink" Target="https://www.linkedin.com/learning/sustainability-strategies?trk=ondemandfile" TargetMode="External"/><Relationship Id="rId1505" Type="http://schemas.openxmlformats.org/officeDocument/2006/relationships/hyperlink" Target="https://www.linkedin.com/learning/building-and-managing-a-high-performing-sales-team?trk=ondemandfile" TargetMode="External"/><Relationship Id="rId1989" Type="http://schemas.openxmlformats.org/officeDocument/2006/relationships/hyperlink" Target="https://www.linkedin.com/learning/aaron-dignan-on-transformational-change?trk=ondemandfile" TargetMode="External"/><Relationship Id="rId1506" Type="http://schemas.openxmlformats.org/officeDocument/2006/relationships/hyperlink" Target="https://www.linkedin.com/learning/predictive-analytics-essential-training-for-executives?trk=ondemandfile" TargetMode="External"/><Relationship Id="rId1507" Type="http://schemas.openxmlformats.org/officeDocument/2006/relationships/hyperlink" Target="https://www.linkedin.com/learning/leadership-mindsets?trk=ondemandfile" TargetMode="External"/><Relationship Id="rId1508" Type="http://schemas.openxmlformats.org/officeDocument/2006/relationships/hyperlink" Target="https://www.linkedin.com/learning/how-leaders-can-motivate-by-creating-meaning?trk=ondemandfile" TargetMode="External"/><Relationship Id="rId1509" Type="http://schemas.openxmlformats.org/officeDocument/2006/relationships/hyperlink" Target="https://www.linkedin.com/learning/how-to-innovate-and-stay-relevant-in-times-of-change-and-uncertainty?trk=ondemandfile" TargetMode="External"/><Relationship Id="rId1980" Type="http://schemas.openxmlformats.org/officeDocument/2006/relationships/hyperlink" Target="https://www.linkedin.com/learning/paths/develop-your-strategic-planning-skills?trk=ondemandfile" TargetMode="External"/><Relationship Id="rId1981" Type="http://schemas.openxmlformats.org/officeDocument/2006/relationships/hyperlink" Target="https://www.linkedin.com/learning/data-strategy?trk=contentmappingfile" TargetMode="External"/><Relationship Id="rId1982" Type="http://schemas.openxmlformats.org/officeDocument/2006/relationships/hyperlink" Target="https://www.linkedin.com/learning/paths/digital-transformation-for-leaders?trk=ondemandfile" TargetMode="External"/><Relationship Id="rId1930" Type="http://schemas.openxmlformats.org/officeDocument/2006/relationships/hyperlink" Target="https://www.linkedin.com/learning/making-great-sales-presentations?trk=ondemandfile" TargetMode="External"/><Relationship Id="rId1931" Type="http://schemas.openxmlformats.org/officeDocument/2006/relationships/hyperlink" Target="https://www.linkedin.com/learning/identify-sales-growth-opportunities?trk=ondemandfile" TargetMode="External"/><Relationship Id="rId1932" Type="http://schemas.openxmlformats.org/officeDocument/2006/relationships/hyperlink" Target="https://www.linkedin.com/learning/sales-negotiation?trk=ondemandfile" TargetMode="External"/><Relationship Id="rId1933" Type="http://schemas.openxmlformats.org/officeDocument/2006/relationships/hyperlink" Target="https://www.linkedin.com/learning/persuasive-selling?trk=ondemandfile" TargetMode="External"/><Relationship Id="rId1934" Type="http://schemas.openxmlformats.org/officeDocument/2006/relationships/hyperlink" Target="https://www.linkedin.com/learning/key-account-management?trk=ondemandfile" TargetMode="External"/><Relationship Id="rId1935" Type="http://schemas.openxmlformats.org/officeDocument/2006/relationships/hyperlink" Target="https://www.linkedin.com/learning/develop-a-service-orientation?trk=ondemandfile" TargetMode="External"/><Relationship Id="rId1936" Type="http://schemas.openxmlformats.org/officeDocument/2006/relationships/hyperlink" Target="https://www.linkedin.com/learning/sales-customer-success?trk=ondemandfile" TargetMode="External"/><Relationship Id="rId1937" Type="http://schemas.openxmlformats.org/officeDocument/2006/relationships/hyperlink" Target="https://www.linkedin.com/learning/sales-pipeline-management?trk=ondemandfile" TargetMode="External"/><Relationship Id="rId1938" Type="http://schemas.openxmlformats.org/officeDocument/2006/relationships/hyperlink" Target="https://www.linkedin.com/learning/sales-data-driven-sales-management?trk=ondemandfile" TargetMode="External"/><Relationship Id="rId1939" Type="http://schemas.openxmlformats.org/officeDocument/2006/relationships/hyperlink" Target="https://www.linkedin.com/learning/social-selling-benchmarks-and-scorecard?trk=ondemandfile" TargetMode="External"/><Relationship Id="rId1920" Type="http://schemas.openxmlformats.org/officeDocument/2006/relationships/hyperlink" Target="https://www.linkedin.com/learning/how-to-save-face-in-a-negotiation?trk=ondemandfile" TargetMode="External"/><Relationship Id="rId1921" Type="http://schemas.openxmlformats.org/officeDocument/2006/relationships/hyperlink" Target="https://www.linkedin.com/learning/mindsets-and-strategies-for-negotiation-success?trk=ondemandfile" TargetMode="External"/><Relationship Id="rId1922" Type="http://schemas.openxmlformats.org/officeDocument/2006/relationships/hyperlink" Target="https://www.linkedin.com/learning/sales-well-being-managing-anxiety-burnout-and-rejection?trk=ondemandfile" TargetMode="External"/><Relationship Id="rId1923" Type="http://schemas.openxmlformats.org/officeDocument/2006/relationships/hyperlink" Target="https://www.linkedin.com/learning/startup-stories-clothing-salesman-invents-baby-harness?trk=ondemandfile" TargetMode="External"/><Relationship Id="rId1924" Type="http://schemas.openxmlformats.org/officeDocument/2006/relationships/hyperlink" Target="https://www.linkedin.com/learning/aftersale-maintaining-relationships?trk=ondemandfile" TargetMode="External"/><Relationship Id="rId1925" Type="http://schemas.openxmlformats.org/officeDocument/2006/relationships/hyperlink" Target="https://www.linkedin.com/learning/reframing-to-overcome-sales-objections?trk=ondemandfile" TargetMode="External"/><Relationship Id="rId1926" Type="http://schemas.openxmlformats.org/officeDocument/2006/relationships/hyperlink" Target="https://www.linkedin.com/learning/how-to-overcome-a-sales-slump?trk=ondemandfile" TargetMode="External"/><Relationship Id="rId1927" Type="http://schemas.openxmlformats.org/officeDocument/2006/relationships/hyperlink" Target="https://www.linkedin.com/learning/creating-powerful-sales-proposals?trk=ondemandfile" TargetMode="External"/><Relationship Id="rId1928" Type="http://schemas.openxmlformats.org/officeDocument/2006/relationships/hyperlink" Target="https://www.linkedin.com/learning/the-science-of-sales?trk=ondemandfile" TargetMode="External"/><Relationship Id="rId1929" Type="http://schemas.openxmlformats.org/officeDocument/2006/relationships/hyperlink" Target="https://www.linkedin.com/learning/sales-prospecting?trk=ondemandfile" TargetMode="External"/><Relationship Id="rId1950" Type="http://schemas.openxmlformats.org/officeDocument/2006/relationships/hyperlink" Target="https://www.linkedin.com/learning/sales-and-the-science-of-trust?trk=ondemandfile" TargetMode="External"/><Relationship Id="rId1951" Type="http://schemas.openxmlformats.org/officeDocument/2006/relationships/hyperlink" Target="https://www.linkedin.com/learning/controlling-the-sale?trk=ondemandfile" TargetMode="External"/><Relationship Id="rId1952" Type="http://schemas.openxmlformats.org/officeDocument/2006/relationships/hyperlink" Target="https://www.linkedin.com/learning/selling-using-champions?trk=ondemandfile" TargetMode="External"/><Relationship Id="rId1953" Type="http://schemas.openxmlformats.org/officeDocument/2006/relationships/hyperlink" Target="https://www.linkedin.com/learning/cold-calling-the-first-seven-seconds?trk=ondemandfile" TargetMode="External"/><Relationship Id="rId1954" Type="http://schemas.openxmlformats.org/officeDocument/2006/relationships/hyperlink" Target="https://www.linkedin.com/learning/the-persuasion-code-the-neuroscience-of-sales?trk=ondemandfile" TargetMode="External"/><Relationship Id="rId1955" Type="http://schemas.openxmlformats.org/officeDocument/2006/relationships/hyperlink" Target="https://www.linkedin.com/learning/sales-closing-strategies?trk=ondemandfile" TargetMode="External"/><Relationship Id="rId1956" Type="http://schemas.openxmlformats.org/officeDocument/2006/relationships/hyperlink" Target="https://www.linkedin.com/learning/advanced-persuasive-selling-persuading-different-personality-types?trk=ondemandfile" TargetMode="External"/><Relationship Id="rId1957" Type="http://schemas.openxmlformats.org/officeDocument/2006/relationships/hyperlink" Target="https://www.linkedin.com/learning/selling-to-the-c-suite?trk=ondemandfile" TargetMode="External"/><Relationship Id="rId1958" Type="http://schemas.openxmlformats.org/officeDocument/2006/relationships/hyperlink" Target="https://www.linkedin.com/learning/advanced-lead-generation?trk=ondemandfile" TargetMode="External"/><Relationship Id="rId1959" Type="http://schemas.openxmlformats.org/officeDocument/2006/relationships/hyperlink" Target="https://www.linkedin.com/learning/influencing-others?trk=ondemandfile" TargetMode="External"/><Relationship Id="rId1940" Type="http://schemas.openxmlformats.org/officeDocument/2006/relationships/hyperlink" Target="https://www.linkedin.com/learning/cross-selling?trk=ondemandfile" TargetMode="External"/><Relationship Id="rId1941" Type="http://schemas.openxmlformats.org/officeDocument/2006/relationships/hyperlink" Target="https://www.linkedin.com/learning/sales-handling-objections?trk=ondemandfile" TargetMode="External"/><Relationship Id="rId1942" Type="http://schemas.openxmlformats.org/officeDocument/2006/relationships/hyperlink" Target="https://www.linkedin.com/learning/aligning-sales-and-marketing?trk=ondemandfile" TargetMode="External"/><Relationship Id="rId1943" Type="http://schemas.openxmlformats.org/officeDocument/2006/relationships/hyperlink" Target="https://www.linkedin.com/learning/sales-enablement?trk=ondemandfile" TargetMode="External"/><Relationship Id="rId1944" Type="http://schemas.openxmlformats.org/officeDocument/2006/relationships/hyperlink" Target="https://www.linkedin.com/learning/empathy-for-sales-professionals?trk=ondemandfile" TargetMode="External"/><Relationship Id="rId1945" Type="http://schemas.openxmlformats.org/officeDocument/2006/relationships/hyperlink" Target="https://www.linkedin.com/learning/asking-great-sales-questions-2019?trk=ondemandfile" TargetMode="External"/><Relationship Id="rId1946" Type="http://schemas.openxmlformats.org/officeDocument/2006/relationships/hyperlink" Target="https://www.linkedin.com/learning/selling-with-empathy-during-uncertain-times?trk=ondemandfile" TargetMode="External"/><Relationship Id="rId1947" Type="http://schemas.openxmlformats.org/officeDocument/2006/relationships/hyperlink" Target="https://www.linkedin.com/learning/social-selling-reaching-prospects?trk=ondemandfile" TargetMode="External"/><Relationship Id="rId1948" Type="http://schemas.openxmlformats.org/officeDocument/2006/relationships/hyperlink" Target="https://www.linkedin.com/learning/cold-email-prospecting?trk=ondemandfile" TargetMode="External"/><Relationship Id="rId1949" Type="http://schemas.openxmlformats.org/officeDocument/2006/relationships/hyperlink" Target="https://www.linkedin.com/learning/managing-your-sales-process-2020?trk=ondemandfile" TargetMode="External"/><Relationship Id="rId1576" Type="http://schemas.openxmlformats.org/officeDocument/2006/relationships/hyperlink" Target="https://www.linkedin.com/learning/leadership-through-feedback?trk=ondemandfile" TargetMode="External"/><Relationship Id="rId2423" Type="http://schemas.openxmlformats.org/officeDocument/2006/relationships/hyperlink" Target="https://www.linkedin.com/learning/how-to-beat-burnout-exhaustion-and-stress?trk=ondemandfile" TargetMode="External"/><Relationship Id="rId1577" Type="http://schemas.openxmlformats.org/officeDocument/2006/relationships/hyperlink" Target="https://www.linkedin.com/learning/how-to-be-an-effective-remote-manager?trk=ondemandfile" TargetMode="External"/><Relationship Id="rId2424" Type="http://schemas.openxmlformats.org/officeDocument/2006/relationships/hyperlink" Target="https://www.linkedin.com/learning/break-free-from-the-negative-chatter-in-your-head?trk=ondemandfile" TargetMode="External"/><Relationship Id="rId1578" Type="http://schemas.openxmlformats.org/officeDocument/2006/relationships/hyperlink" Target="https://www.linkedin.com/learning/how-to-build-virtual-accountability?trk=ondemandfile" TargetMode="External"/><Relationship Id="rId2425" Type="http://schemas.openxmlformats.org/officeDocument/2006/relationships/hyperlink" Target="https://www.linkedin.com/learning/training-your-mind-to-overcome-pressure-and-underperformance?trk=ondemandfile" TargetMode="External"/><Relationship Id="rId1579" Type="http://schemas.openxmlformats.org/officeDocument/2006/relationships/hyperlink" Target="https://www.linkedin.com/learning/delegating-from-a-distance?trk=ondemandfile" TargetMode="External"/><Relationship Id="rId2426" Type="http://schemas.openxmlformats.org/officeDocument/2006/relationships/hyperlink" Target="https://www.linkedin.com/learning/facilities-management-social-distancing-and-ppe-14016700?trk=ondemandfile" TargetMode="External"/><Relationship Id="rId2427" Type="http://schemas.openxmlformats.org/officeDocument/2006/relationships/hyperlink" Target="https://www.linkedin.com/learning/managing-employee-stress-for-positive-change?trk=ondemandfile" TargetMode="External"/><Relationship Id="rId2428" Type="http://schemas.openxmlformats.org/officeDocument/2006/relationships/hyperlink" Target="https://www.linkedin.com/learning/meditation-audio-course?trk=ondemandfile" TargetMode="External"/><Relationship Id="rId2429" Type="http://schemas.openxmlformats.org/officeDocument/2006/relationships/hyperlink" Target="https://www.linkedin.com/learning/45-minute-business-plan?trk=ondemandfile" TargetMode="External"/><Relationship Id="rId509" Type="http://schemas.openxmlformats.org/officeDocument/2006/relationships/hyperlink" Target="https://www.linkedin.com/learning/building-a-creative-online-community?trk=ondemandfile" TargetMode="External"/><Relationship Id="rId508" Type="http://schemas.openxmlformats.org/officeDocument/2006/relationships/hyperlink" Target="https://www.linkedin.com/learning/marketing-on-linkedin-the-sophisticated-marketer-s-guide?trk=ondemandfile" TargetMode="External"/><Relationship Id="rId503" Type="http://schemas.openxmlformats.org/officeDocument/2006/relationships/hyperlink" Target="https://www.linkedin.com/learning/growth-hacking-foundations?trk=ondemandfile" TargetMode="External"/><Relationship Id="rId987" Type="http://schemas.openxmlformats.org/officeDocument/2006/relationships/hyperlink" Target="https://www.linkedin.com/learning/business-analytics-deep-dive-forecasting-with-exponential-smoothing?trk=ondemandfile" TargetMode="External"/><Relationship Id="rId502" Type="http://schemas.openxmlformats.org/officeDocument/2006/relationships/hyperlink" Target="https://www.linkedin.com/learning/digital-marketing-trends?trk=ondemandfile" TargetMode="External"/><Relationship Id="rId986" Type="http://schemas.openxmlformats.org/officeDocument/2006/relationships/hyperlink" Target="https://www.linkedin.com/learning/focusing-on-the-bottom-line-as-an-employee?trk=ondemandfile" TargetMode="External"/><Relationship Id="rId501" Type="http://schemas.openxmlformats.org/officeDocument/2006/relationships/hyperlink" Target="https://www.linkedin.com/learning/advanced-facebook-advertising-2021?trk=ondemandfile" TargetMode="External"/><Relationship Id="rId985" Type="http://schemas.openxmlformats.org/officeDocument/2006/relationships/hyperlink" Target="https://www.linkedin.com/learning/advanced-bookkeeping-techniques?trk=ondemandfile" TargetMode="External"/><Relationship Id="rId500" Type="http://schemas.openxmlformats.org/officeDocument/2006/relationships/hyperlink" Target="https://www.linkedin.com/learning/advanced-google-ads?trk=ondemandfile" TargetMode="External"/><Relationship Id="rId984" Type="http://schemas.openxmlformats.org/officeDocument/2006/relationships/hyperlink" Target="https://www.linkedin.com/learning/paths/stay-ahead-in-personal-finance?trk=ondemandfile" TargetMode="External"/><Relationship Id="rId507" Type="http://schemas.openxmlformats.org/officeDocument/2006/relationships/hyperlink" Target="https://www.linkedin.com/learning/marketing-to-humans?trk=ondemandfile" TargetMode="External"/><Relationship Id="rId506" Type="http://schemas.openxmlformats.org/officeDocument/2006/relationships/hyperlink" Target="https://www.linkedin.com/learning/marketing-tips-2?trk=ondemandfile" TargetMode="External"/><Relationship Id="rId505" Type="http://schemas.openxmlformats.org/officeDocument/2006/relationships/hyperlink" Target="https://www.linkedin.com/learning/marketing-your-side-hustle?trk=ondemandfile" TargetMode="External"/><Relationship Id="rId989" Type="http://schemas.openxmlformats.org/officeDocument/2006/relationships/hyperlink" Target="https://www.linkedin.com/learning/business-intelligence-for-consultants?trk=ondemandfile" TargetMode="External"/><Relationship Id="rId504" Type="http://schemas.openxmlformats.org/officeDocument/2006/relationships/hyperlink" Target="https://www.linkedin.com/learning/lifecycle-marketing-foundations?trk=ondemandfile" TargetMode="External"/><Relationship Id="rId988" Type="http://schemas.openxmlformats.org/officeDocument/2006/relationships/hyperlink" Target="https://www.linkedin.com/learning/business-analytics-forecasting-with-seasonal-baseline-smoothing?trk=ondemandfile" TargetMode="External"/><Relationship Id="rId1570" Type="http://schemas.openxmlformats.org/officeDocument/2006/relationships/hyperlink" Target="https://www.linkedin.com/learning/managing-employee-performance-problems-2018?trk=ondemandfile" TargetMode="External"/><Relationship Id="rId1571" Type="http://schemas.openxmlformats.org/officeDocument/2006/relationships/hyperlink" Target="https://www.linkedin.com/learning/business-ethics-for-managers-and-leaders?trk=ondemandfile" TargetMode="External"/><Relationship Id="rId983" Type="http://schemas.openxmlformats.org/officeDocument/2006/relationships/hyperlink" Target="https://www.linkedin.com/learning/s-4-finance-fiori-accounts-payable-analytics?trk=ondemandfile" TargetMode="External"/><Relationship Id="rId1572" Type="http://schemas.openxmlformats.org/officeDocument/2006/relationships/hyperlink" Target="https://www.linkedin.com/learning/managing-for-better-ideas?trk=ondemandfile" TargetMode="External"/><Relationship Id="rId982" Type="http://schemas.openxmlformats.org/officeDocument/2006/relationships/hyperlink" Target="https://www.linkedin.com/learning/paths/get-ahead-in-the-on-demand-gig-economy?trk=ondemandfile" TargetMode="External"/><Relationship Id="rId1573" Type="http://schemas.openxmlformats.org/officeDocument/2006/relationships/hyperlink" Target="https://www.linkedin.com/learning/having-career-conversations-with-your-team?trk=ondemandfile" TargetMode="External"/><Relationship Id="rId2420" Type="http://schemas.openxmlformats.org/officeDocument/2006/relationships/hyperlink" Target="https://www.linkedin.com/learning/building-better-routines-2022?trk=ondemandfile" TargetMode="External"/><Relationship Id="rId981" Type="http://schemas.openxmlformats.org/officeDocument/2006/relationships/hyperlink" Target="https://www.linkedin.com/learning/s-4-finance-fiori-accounts-receivable-analytics?trk=ondemandfile" TargetMode="External"/><Relationship Id="rId1574" Type="http://schemas.openxmlformats.org/officeDocument/2006/relationships/hyperlink" Target="https://www.linkedin.com/learning/succeeding-as-a-first-time-t-ech-manager?trk=ondemandfile" TargetMode="External"/><Relationship Id="rId2421" Type="http://schemas.openxmlformats.org/officeDocument/2006/relationships/hyperlink" Target="https://www.linkedin.com/learning/head-strong-blinkist-summary?trk=ondemandfile" TargetMode="External"/><Relationship Id="rId980" Type="http://schemas.openxmlformats.org/officeDocument/2006/relationships/hyperlink" Target="https://www.linkedin.com/learning/paths/develop-your-finance-and-accounting-skills?trk=ondemandfile" TargetMode="External"/><Relationship Id="rId1575" Type="http://schemas.openxmlformats.org/officeDocument/2006/relationships/hyperlink" Target="https://www.linkedin.com/learning/managing-skills-for-remote-leaders?trk=ondemandfile" TargetMode="External"/><Relationship Id="rId2422" Type="http://schemas.openxmlformats.org/officeDocument/2006/relationships/hyperlink" Target="https://www.linkedin.com/learning/stop-overthinking-and-manage-your-inner-critic?trk=ondemandfile" TargetMode="External"/><Relationship Id="rId1565" Type="http://schemas.openxmlformats.org/officeDocument/2006/relationships/hyperlink" Target="https://www.linkedin.com/learning/coaching-employees-through-difficult-situations?trk=ondemandfile" TargetMode="External"/><Relationship Id="rId2412" Type="http://schemas.openxmlformats.org/officeDocument/2006/relationships/hyperlink" Target="https://www.linkedin.com/learning/developing-your-authentic-self-to-ignite-change?trk=ondemandfile" TargetMode="External"/><Relationship Id="rId1566" Type="http://schemas.openxmlformats.org/officeDocument/2006/relationships/hyperlink" Target="https://www.linkedin.com/learning/developing-executive-presence?trk=ondemandfile" TargetMode="External"/><Relationship Id="rId2413" Type="http://schemas.openxmlformats.org/officeDocument/2006/relationships/hyperlink" Target="https://www.linkedin.com/learning/conquering-freak-outs-and-the-fear-of-failure?trk=ondemandfile" TargetMode="External"/><Relationship Id="rId1567" Type="http://schemas.openxmlformats.org/officeDocument/2006/relationships/hyperlink" Target="https://www.linkedin.com/learning/developing-leaders-on-your-team?trk=ondemandfile" TargetMode="External"/><Relationship Id="rId2414" Type="http://schemas.openxmlformats.org/officeDocument/2006/relationships/hyperlink" Target="https://www.linkedin.com/learning/mindfulness-a-critical-skill-for-project-managers?trk=ondemandfile" TargetMode="External"/><Relationship Id="rId1568" Type="http://schemas.openxmlformats.org/officeDocument/2006/relationships/hyperlink" Target="https://www.linkedin.com/learning/facilitation-skills-for-managers-and-leaders?trk=ondemandfile" TargetMode="External"/><Relationship Id="rId2415" Type="http://schemas.openxmlformats.org/officeDocument/2006/relationships/hyperlink" Target="https://www.linkedin.com/learning/how-to-have-a-happier-workweek?trk=contentmappingfile" TargetMode="External"/><Relationship Id="rId1569" Type="http://schemas.openxmlformats.org/officeDocument/2006/relationships/hyperlink" Target="https://www.linkedin.com/learning/leading-and-working-in-teams?trk=ondemandfile" TargetMode="External"/><Relationship Id="rId2416" Type="http://schemas.openxmlformats.org/officeDocument/2006/relationships/hyperlink" Target="https://www.linkedin.com/learning/how-to-find-and-use-your-strengths?trk=contentmappingfile" TargetMode="External"/><Relationship Id="rId2417" Type="http://schemas.openxmlformats.org/officeDocument/2006/relationships/hyperlink" Target="https://www.linkedin.com/learning/increasing-confidence-by-increasing-self-awareness?trk=contentmappingfile" TargetMode="External"/><Relationship Id="rId2418" Type="http://schemas.openxmlformats.org/officeDocument/2006/relationships/hyperlink" Target="https://www.linkedin.com/learning/emotional-intelligence-basics?trk=ondemandfile" TargetMode="External"/><Relationship Id="rId2419" Type="http://schemas.openxmlformats.org/officeDocument/2006/relationships/hyperlink" Target="https://www.linkedin.com/learning/managing-your-energy-2022?trk=ondemandfile" TargetMode="External"/><Relationship Id="rId976" Type="http://schemas.openxmlformats.org/officeDocument/2006/relationships/hyperlink" Target="https://www.linkedin.com/learning/paths/become-a-financial-analyst?trk=ondemandfile" TargetMode="External"/><Relationship Id="rId975" Type="http://schemas.openxmlformats.org/officeDocument/2006/relationships/hyperlink" Target="https://www.linkedin.com/learning/accounting-for-managers?trk=ondemandfile" TargetMode="External"/><Relationship Id="rId974" Type="http://schemas.openxmlformats.org/officeDocument/2006/relationships/hyperlink" Target="https://www.linkedin.com/learning/paths/become-an-economist?trk=ondemandfile" TargetMode="External"/><Relationship Id="rId973" Type="http://schemas.openxmlformats.org/officeDocument/2006/relationships/hyperlink" Target="https://www.linkedin.com/learning/nonprofit-foundations?trk=ondemandfile" TargetMode="External"/><Relationship Id="rId979" Type="http://schemas.openxmlformats.org/officeDocument/2006/relationships/hyperlink" Target="https://www.linkedin.com/learning/job-interview-tips-for-accountants?trk=ondemandfile" TargetMode="External"/><Relationship Id="rId978" Type="http://schemas.openxmlformats.org/officeDocument/2006/relationships/hyperlink" Target="https://www.linkedin.com/learning/paths/become-a-small-business-owner?trk=ondemandfile" TargetMode="External"/><Relationship Id="rId977" Type="http://schemas.openxmlformats.org/officeDocument/2006/relationships/hyperlink" Target="https://www.linkedin.com/learning/foundations-of-working-capital-management?trk=ondemandfile" TargetMode="External"/><Relationship Id="rId1560" Type="http://schemas.openxmlformats.org/officeDocument/2006/relationships/hyperlink" Target="https://www.linkedin.com/learning/coaching-new-hires?trk=ondemandfile" TargetMode="External"/><Relationship Id="rId972" Type="http://schemas.openxmlformats.org/officeDocument/2006/relationships/hyperlink" Target="https://www.linkedin.com/learning/paths/become-a-corporate-financial-planning-analyst?trk=ondemandfile" TargetMode="External"/><Relationship Id="rId1561" Type="http://schemas.openxmlformats.org/officeDocument/2006/relationships/hyperlink" Target="https://www.linkedin.com/learning/be-the-manager-people-won-t-leave?trk=ondemandfile" TargetMode="External"/><Relationship Id="rId971" Type="http://schemas.openxmlformats.org/officeDocument/2006/relationships/hyperlink" Target="https://www.linkedin.com/learning/lean-technology-strategy-financial-management-to-support-business-agility?trk=ondemandfile" TargetMode="External"/><Relationship Id="rId1562" Type="http://schemas.openxmlformats.org/officeDocument/2006/relationships/hyperlink" Target="https://www.linkedin.com/learning/managing-up-down-and-across-the-organization-14407231?trk=contentmappingfile" TargetMode="External"/><Relationship Id="rId970" Type="http://schemas.openxmlformats.org/officeDocument/2006/relationships/hyperlink" Target="https://www.linkedin.com/learning/paths/become-a-bookkeeper?trk=ondemandfile" TargetMode="External"/><Relationship Id="rId1563" Type="http://schemas.openxmlformats.org/officeDocument/2006/relationships/hyperlink" Target="https://www.linkedin.com/learning/delegating-tasks?trk=ondemandfile" TargetMode="External"/><Relationship Id="rId2410" Type="http://schemas.openxmlformats.org/officeDocument/2006/relationships/hyperlink" Target="https://www.linkedin.com/learning/mindset-blinkist-summary?trk=ondemandfile" TargetMode="External"/><Relationship Id="rId1564" Type="http://schemas.openxmlformats.org/officeDocument/2006/relationships/hyperlink" Target="https://www.linkedin.com/learning/managing-generation-z?trk=ondemandfile" TargetMode="External"/><Relationship Id="rId2411" Type="http://schemas.openxmlformats.org/officeDocument/2006/relationships/hyperlink" Target="https://www.linkedin.com/learning/upgrading-your-confidence-and-courage-at-work?trk=ondemandfile" TargetMode="External"/><Relationship Id="rId1114" Type="http://schemas.openxmlformats.org/officeDocument/2006/relationships/hyperlink" Target="https://www.linkedin.com/learning/human-resources-foundations?trk=ondemandfile" TargetMode="External"/><Relationship Id="rId1598" Type="http://schemas.openxmlformats.org/officeDocument/2006/relationships/hyperlink" Target="https://www.linkedin.com/learning/creating-a-communications-strategy?trk=ondemandfile" TargetMode="External"/><Relationship Id="rId2445" Type="http://schemas.openxmlformats.org/officeDocument/2006/relationships/hyperlink" Target="https://www.linkedin.com/learning/gretchen-rubin-on-creating-great-workplace-habits?trk=ondemandfile" TargetMode="External"/><Relationship Id="rId1115" Type="http://schemas.openxmlformats.org/officeDocument/2006/relationships/hyperlink" Target="https://www.linkedin.com/learning/human-resources-protecting-confidentiality?trk=ondemandfile" TargetMode="External"/><Relationship Id="rId1599" Type="http://schemas.openxmlformats.org/officeDocument/2006/relationships/hyperlink" Target="https://www.linkedin.com/learning/foundations-of-performance-management?trk=ondemandfile" TargetMode="External"/><Relationship Id="rId2446" Type="http://schemas.openxmlformats.org/officeDocument/2006/relationships/hyperlink" Target="https://www.linkedin.com/learning/sheryl-sandberg-and-adam-grant-on-option-b?trk=ondemandfile" TargetMode="External"/><Relationship Id="rId1116" Type="http://schemas.openxmlformats.org/officeDocument/2006/relationships/hyperlink" Target="https://www.linkedin.com/learning/teaching-civility-in-the-workplace?trk=ondemandfile" TargetMode="External"/><Relationship Id="rId2447" Type="http://schemas.openxmlformats.org/officeDocument/2006/relationships/hyperlink" Target="https://www.linkedin.com/learning/being-the-best-you-self-improvement-modeling?trk=ondemandfile" TargetMode="External"/><Relationship Id="rId1117" Type="http://schemas.openxmlformats.org/officeDocument/2006/relationships/hyperlink" Target="https://www.linkedin.com/learning/women-transforming-tech-finding-a-mentor?trk=ondemandfile" TargetMode="External"/><Relationship Id="rId2448" Type="http://schemas.openxmlformats.org/officeDocument/2006/relationships/hyperlink" Target="https://www.linkedin.com/learning/supporting-your-mental-health-while-working-from-home?trk=ondemandfile" TargetMode="External"/><Relationship Id="rId1118" Type="http://schemas.openxmlformats.org/officeDocument/2006/relationships/hyperlink" Target="https://www.linkedin.com/learning/collaborating-with-your-millennial-manager?trk=ondemandfile" TargetMode="External"/><Relationship Id="rId2449" Type="http://schemas.openxmlformats.org/officeDocument/2006/relationships/hyperlink" Target="https://www.linkedin.com/learning/life-mastery-achieving-happiness-and-success?trk=ondemandfile" TargetMode="External"/><Relationship Id="rId1119" Type="http://schemas.openxmlformats.org/officeDocument/2006/relationships/hyperlink" Target="https://www.linkedin.com/learning/introduction-to-employee-relations?trk=ondemandfile" TargetMode="External"/><Relationship Id="rId525" Type="http://schemas.openxmlformats.org/officeDocument/2006/relationships/hyperlink" Target="https://www.linkedin.com/learning/branding-foundations-2?trk=ondemandfile" TargetMode="External"/><Relationship Id="rId524" Type="http://schemas.openxmlformats.org/officeDocument/2006/relationships/hyperlink" Target="https://www.linkedin.com/learning/social-media-marketing-foundations-20-20?trk=ondemandfile" TargetMode="External"/><Relationship Id="rId523" Type="http://schemas.openxmlformats.org/officeDocument/2006/relationships/hyperlink" Target="https://www.linkedin.com/learning/advertising-on-twitter-2020?trk=ondemandfile" TargetMode="External"/><Relationship Id="rId522" Type="http://schemas.openxmlformats.org/officeDocument/2006/relationships/hyperlink" Target="https://www.linkedin.com/learning/learning-google-adsense-2?trk=ondemandfile" TargetMode="External"/><Relationship Id="rId529" Type="http://schemas.openxmlformats.org/officeDocument/2006/relationships/hyperlink" Target="https://www.linkedin.com/learning/introduction-to-social-media-strategy?trk=ondemandfile" TargetMode="External"/><Relationship Id="rId528" Type="http://schemas.openxmlformats.org/officeDocument/2006/relationships/hyperlink" Target="https://www.linkedin.com/learning/content-marketing-for-social-media?trk=ondemandfile" TargetMode="External"/><Relationship Id="rId527" Type="http://schemas.openxmlformats.org/officeDocument/2006/relationships/hyperlink" Target="https://www.linkedin.com/learning/marketing-tools-digital-marketing-2?trk=ondemandfile" TargetMode="External"/><Relationship Id="rId526" Type="http://schemas.openxmlformats.org/officeDocument/2006/relationships/hyperlink" Target="https://www.linkedin.com/learning/marketing-to-generation-z?trk=ondemandfile" TargetMode="External"/><Relationship Id="rId1590" Type="http://schemas.openxmlformats.org/officeDocument/2006/relationships/hyperlink" Target="https://www.linkedin.com/learning/just-ask-todd-dewett-2020?trk=ondemandfile" TargetMode="External"/><Relationship Id="rId1591" Type="http://schemas.openxmlformats.org/officeDocument/2006/relationships/hyperlink" Target="https://www.linkedin.com/learning/recognizing-and-rewarding-your-workers?trk=ondemandfile" TargetMode="External"/><Relationship Id="rId1592" Type="http://schemas.openxmlformats.org/officeDocument/2006/relationships/hyperlink" Target="https://www.linkedin.com/learning/building-a-coaching-culture-improving-performance-through-timely-feedback?trk=ondemandfile" TargetMode="External"/><Relationship Id="rId1593" Type="http://schemas.openxmlformats.org/officeDocument/2006/relationships/hyperlink" Target="https://www.linkedin.com/learning/how-leaders-can-motivate-by-creating-meaning?trk=ondemandfile" TargetMode="External"/><Relationship Id="rId2440" Type="http://schemas.openxmlformats.org/officeDocument/2006/relationships/hyperlink" Target="https://www.linkedin.com/learning/it-s-all-possible-blinkist-summary?trk=ondemandfile" TargetMode="External"/><Relationship Id="rId521" Type="http://schemas.openxmlformats.org/officeDocument/2006/relationships/hyperlink" Target="https://www.linkedin.com/learning/content-marketing-foundations-2020?trk=ondemandfile" TargetMode="External"/><Relationship Id="rId1110" Type="http://schemas.openxmlformats.org/officeDocument/2006/relationships/hyperlink" Target="https://www.linkedin.com/learning/become-a-digital-nomad?trk=ondemandfile" TargetMode="External"/><Relationship Id="rId1594" Type="http://schemas.openxmlformats.org/officeDocument/2006/relationships/hyperlink" Target="https://www.linkedin.com/learning/the-definitive-drucker-getabstract-summary?trk=ondemandfile" TargetMode="External"/><Relationship Id="rId2441" Type="http://schemas.openxmlformats.org/officeDocument/2006/relationships/hyperlink" Target="https://www.linkedin.com/learning/exceptional-blinkist-summary?trk=ondemandfile" TargetMode="External"/><Relationship Id="rId520" Type="http://schemas.openxmlformats.org/officeDocument/2006/relationships/hyperlink" Target="https://www.linkedin.com/learning/marketing-and-monetizing-on-youtube-2019?trk=ondemandfile" TargetMode="External"/><Relationship Id="rId1111" Type="http://schemas.openxmlformats.org/officeDocument/2006/relationships/hyperlink" Target="https://www.linkedin.com/learning/tech-recruiting-foundations-5-waterfall-agile-and-devops-for-recruiters?trk=ondemandfile" TargetMode="External"/><Relationship Id="rId1595" Type="http://schemas.openxmlformats.org/officeDocument/2006/relationships/hyperlink" Target="https://www.linkedin.com/learning/creating-winning-teams?trk=ondemandfile" TargetMode="External"/><Relationship Id="rId2442" Type="http://schemas.openxmlformats.org/officeDocument/2006/relationships/hyperlink" Target="https://www.linkedin.com/learning/good-vibes-good-life-blinkist-summary?trk=ondemandfile" TargetMode="External"/><Relationship Id="rId1112" Type="http://schemas.openxmlformats.org/officeDocument/2006/relationships/hyperlink" Target="https://www.linkedin.com/learning/tech-recruiting-foundations-4-recruiting-for-the-it-department?trk=ondemandfile" TargetMode="External"/><Relationship Id="rId1596" Type="http://schemas.openxmlformats.org/officeDocument/2006/relationships/hyperlink" Target="https://www.linkedin.com/learning/creating-an-adaptable-team?trk=ondemandfile" TargetMode="External"/><Relationship Id="rId2443" Type="http://schemas.openxmlformats.org/officeDocument/2006/relationships/hyperlink" Target="https://www.linkedin.com/learning/greg-mckeown-on-the-art-of-getting-effortless-results-without-burning-out?trk=ondemandfile" TargetMode="External"/><Relationship Id="rId1113" Type="http://schemas.openxmlformats.org/officeDocument/2006/relationships/hyperlink" Target="https://www.linkedin.com/learning/handling-workplace-bullying?trk=ondemandfile" TargetMode="External"/><Relationship Id="rId1597" Type="http://schemas.openxmlformats.org/officeDocument/2006/relationships/hyperlink" Target="https://www.linkedin.com/learning/the-superbosses-playbook?trk=ondemandfile" TargetMode="External"/><Relationship Id="rId2444" Type="http://schemas.openxmlformats.org/officeDocument/2006/relationships/hyperlink" Target="https://www.linkedin.com/learning/navigating-fear-of-missing-out-fomo-at-work?trk=ondemandfile" TargetMode="External"/><Relationship Id="rId1103" Type="http://schemas.openxmlformats.org/officeDocument/2006/relationships/hyperlink" Target="https://www.linkedin.com/learning/hire-retain-and-grow-top-millennial-talent?trk=ondemandfile" TargetMode="External"/><Relationship Id="rId1587" Type="http://schemas.openxmlformats.org/officeDocument/2006/relationships/hyperlink" Target="https://www.linkedin.com/learning/mindful-leadership?trk=ondemandfile" TargetMode="External"/><Relationship Id="rId2434" Type="http://schemas.openxmlformats.org/officeDocument/2006/relationships/hyperlink" Target="https://www.linkedin.com/learning/adaptive-leadership-for-vuca-challenges?trk=ondemandfile" TargetMode="External"/><Relationship Id="rId1104" Type="http://schemas.openxmlformats.org/officeDocument/2006/relationships/hyperlink" Target="https://www.linkedin.com/learning/hiring-and-supporting-neurodiversity-in-the-workplace?trk=ondemandfile" TargetMode="External"/><Relationship Id="rId1588" Type="http://schemas.openxmlformats.org/officeDocument/2006/relationships/hyperlink" Target="https://www.linkedin.com/learning/the-art-of-leadership-getabstract-summary?trk=ondemandfile" TargetMode="External"/><Relationship Id="rId2435" Type="http://schemas.openxmlformats.org/officeDocument/2006/relationships/hyperlink" Target="https://www.linkedin.com/learning/noise-blinkist-summary?trk=ondemandfile" TargetMode="External"/><Relationship Id="rId1105" Type="http://schemas.openxmlformats.org/officeDocument/2006/relationships/hyperlink" Target="https://www.linkedin.com/learning/hr-communication-in-today-s-fluid-workplace?trk=ondemandfile" TargetMode="External"/><Relationship Id="rId1589" Type="http://schemas.openxmlformats.org/officeDocument/2006/relationships/hyperlink" Target="https://www.linkedin.com/learning/how-to-stop-wasting-time-in-meetings?trk=ondemandfile" TargetMode="External"/><Relationship Id="rId2436" Type="http://schemas.openxmlformats.org/officeDocument/2006/relationships/hyperlink" Target="https://www.linkedin.com/learning/balancing-work-and-life-14577337?trk=ondemandfile" TargetMode="External"/><Relationship Id="rId1106" Type="http://schemas.openxmlformats.org/officeDocument/2006/relationships/hyperlink" Target="https://www.linkedin.com/learning/hr-recruiting-communication-strategies-to-attract-and-retain-top-talent?trk=ondemandfile" TargetMode="External"/><Relationship Id="rId2437" Type="http://schemas.openxmlformats.org/officeDocument/2006/relationships/hyperlink" Target="https://www.linkedin.com/learning/how-to-beat-workplace-loneliness?trk=ondemandfile" TargetMode="External"/><Relationship Id="rId1107" Type="http://schemas.openxmlformats.org/officeDocument/2006/relationships/hyperlink" Target="https://www.linkedin.com/learning/performance-management-employee-engagement?trk=ondemandfile" TargetMode="External"/><Relationship Id="rId2438" Type="http://schemas.openxmlformats.org/officeDocument/2006/relationships/hyperlink" Target="https://www.linkedin.com/learning/the-art-of-impossible-blinkist-summary?trk=ondemandfile" TargetMode="External"/><Relationship Id="rId1108" Type="http://schemas.openxmlformats.org/officeDocument/2006/relationships/hyperlink" Target="https://www.linkedin.com/learning/people-success-employee-assessments?trk=ondemandfile" TargetMode="External"/><Relationship Id="rId2439" Type="http://schemas.openxmlformats.org/officeDocument/2006/relationships/hyperlink" Target="https://www.linkedin.com/learning/the-joy-of-missing-out-blinkist-summary?trk=ondemandfile" TargetMode="External"/><Relationship Id="rId1109" Type="http://schemas.openxmlformats.org/officeDocument/2006/relationships/hyperlink" Target="https://www.linkedin.com/learning/letting-an-employee-go-2?trk=ondemandfile" TargetMode="External"/><Relationship Id="rId519" Type="http://schemas.openxmlformats.org/officeDocument/2006/relationships/hyperlink" Target="https://www.linkedin.com/learning/build-an-ecommerce-website-using-shopify?trk=ondemandfile" TargetMode="External"/><Relationship Id="rId514" Type="http://schemas.openxmlformats.org/officeDocument/2006/relationships/hyperlink" Target="https://www.linkedin.com/learning/marketing-foundations-automation?trk=ondemandfile" TargetMode="External"/><Relationship Id="rId998" Type="http://schemas.openxmlformats.org/officeDocument/2006/relationships/hyperlink" Target="https://www.linkedin.com/learning/finance-foundations-2?trk=ondemandfile" TargetMode="External"/><Relationship Id="rId513" Type="http://schemas.openxmlformats.org/officeDocument/2006/relationships/hyperlink" Target="https://www.linkedin.com/learning/social-media-marketing-tips?trk=ondemandfile" TargetMode="External"/><Relationship Id="rId997" Type="http://schemas.openxmlformats.org/officeDocument/2006/relationships/hyperlink" Target="https://www.linkedin.com/learning/business-tax-foundations?trk=ondemandfile" TargetMode="External"/><Relationship Id="rId512" Type="http://schemas.openxmlformats.org/officeDocument/2006/relationships/hyperlink" Target="https://www.linkedin.com/learning/determining-market-size-for-your-product-or-service?trk=ondemandfile" TargetMode="External"/><Relationship Id="rId996" Type="http://schemas.openxmlformats.org/officeDocument/2006/relationships/hyperlink" Target="https://www.linkedin.com/learning/audit-and-due-diligence-foundations?trk=ondemandfile" TargetMode="External"/><Relationship Id="rId511" Type="http://schemas.openxmlformats.org/officeDocument/2006/relationships/hyperlink" Target="https://www.linkedin.com/learning/creating-marketing-objectives?trk=ondemandfile" TargetMode="External"/><Relationship Id="rId995" Type="http://schemas.openxmlformats.org/officeDocument/2006/relationships/hyperlink" Target="https://www.linkedin.com/learning/accounting-foundations-budgeting-2?trk=ondemandfile" TargetMode="External"/><Relationship Id="rId518" Type="http://schemas.openxmlformats.org/officeDocument/2006/relationships/hyperlink" Target="https://www.linkedin.com/learning/marketing-foundations-2?trk=ondemandfile" TargetMode="External"/><Relationship Id="rId517" Type="http://schemas.openxmlformats.org/officeDocument/2006/relationships/hyperlink" Target="https://www.linkedin.com/learning/market-research-foundations?trk=ondemandfile" TargetMode="External"/><Relationship Id="rId516" Type="http://schemas.openxmlformats.org/officeDocument/2006/relationships/hyperlink" Target="https://www.linkedin.com/learning/identifying-your-target-market?trk=ondemandfile" TargetMode="External"/><Relationship Id="rId515" Type="http://schemas.openxmlformats.org/officeDocument/2006/relationships/hyperlink" Target="https://www.linkedin.com/learning/content-marketing-newsletters-2?trk=ondemandfile" TargetMode="External"/><Relationship Id="rId999" Type="http://schemas.openxmlformats.org/officeDocument/2006/relationships/hyperlink" Target="https://www.linkedin.com/learning/finance-foundations-income-taxes-2?trk=ondemandfile" TargetMode="External"/><Relationship Id="rId990" Type="http://schemas.openxmlformats.org/officeDocument/2006/relationships/hyperlink" Target="https://www.linkedin.com/learning/accounting-foundations-asset-impairment?trk=ondemandfile" TargetMode="External"/><Relationship Id="rId1580" Type="http://schemas.openxmlformats.org/officeDocument/2006/relationships/hyperlink" Target="https://www.linkedin.com/learning/management-excellence-at-microsoft-model-coach-care?trk=ondemandfile" TargetMode="External"/><Relationship Id="rId1581" Type="http://schemas.openxmlformats.org/officeDocument/2006/relationships/hyperlink" Target="https://www.linkedin.com/learning/become-a-better-coach-for-your-team?trk=ondemandfile" TargetMode="External"/><Relationship Id="rId1582" Type="http://schemas.openxmlformats.org/officeDocument/2006/relationships/hyperlink" Target="https://www.linkedin.com/learning/boosting-your-team-s-productivity?trk=ondemandfile" TargetMode="External"/><Relationship Id="rId510" Type="http://schemas.openxmlformats.org/officeDocument/2006/relationships/hyperlink" Target="https://www.linkedin.com/learning/social-media-video-for-business-and-marketing?trk=ondemandfile" TargetMode="External"/><Relationship Id="rId994" Type="http://schemas.openxmlformats.org/officeDocument/2006/relationships/hyperlink" Target="https://www.linkedin.com/learning/779740?trk=ondemandfile" TargetMode="External"/><Relationship Id="rId1583" Type="http://schemas.openxmlformats.org/officeDocument/2006/relationships/hyperlink" Target="https://www.linkedin.com/learning/having-difficult-conversations-2?trk=ondemandfile" TargetMode="External"/><Relationship Id="rId2430" Type="http://schemas.openxmlformats.org/officeDocument/2006/relationships/hyperlink" Target="https://www.linkedin.com/learning/exercising-a-growth-mindset-as-a-leader-nine-common-workplace-challenges?trk=ondemandfile" TargetMode="External"/><Relationship Id="rId993" Type="http://schemas.openxmlformats.org/officeDocument/2006/relationships/hyperlink" Target="https://www.linkedin.com/learning/accounting-foundations-2?trk=ondemandfile" TargetMode="External"/><Relationship Id="rId1100" Type="http://schemas.openxmlformats.org/officeDocument/2006/relationships/hyperlink" Target="https://www.linkedin.com/learning/managing-temporary-and-contract-employees?trk=ondemandfile" TargetMode="External"/><Relationship Id="rId1584" Type="http://schemas.openxmlformats.org/officeDocument/2006/relationships/hyperlink" Target="https://www.linkedin.com/learning/configure-and-manage-office-365-workload-integrations?trk=ondemandfile" TargetMode="External"/><Relationship Id="rId2431" Type="http://schemas.openxmlformats.org/officeDocument/2006/relationships/hyperlink" Target="https://www.linkedin.com/learning/thriving-work-leveraging-the-connection-between-well-being-and-productivity?trk=ondemandfile" TargetMode="External"/><Relationship Id="rId992" Type="http://schemas.openxmlformats.org/officeDocument/2006/relationships/hyperlink" Target="https://www.linkedin.com/learning/sap-erp-essential-training?trk=ondemandfile" TargetMode="External"/><Relationship Id="rId1101" Type="http://schemas.openxmlformats.org/officeDocument/2006/relationships/hyperlink" Target="https://www.linkedin.com/learning/virtual-interviewing-for-hr?trk=ondemandfile" TargetMode="External"/><Relationship Id="rId1585" Type="http://schemas.openxmlformats.org/officeDocument/2006/relationships/hyperlink" Target="https://www.linkedin.com/learning/project-leadership?trk=ondemandfile" TargetMode="External"/><Relationship Id="rId2432" Type="http://schemas.openxmlformats.org/officeDocument/2006/relationships/hyperlink" Target="https://www.linkedin.com/learning/unsubscribe?trk=ondemandfile" TargetMode="External"/><Relationship Id="rId991" Type="http://schemas.openxmlformats.org/officeDocument/2006/relationships/hyperlink" Target="https://www.linkedin.com/learning/financial-adulting?trk=ondemandfile" TargetMode="External"/><Relationship Id="rId1102" Type="http://schemas.openxmlformats.org/officeDocument/2006/relationships/hyperlink" Target="https://www.linkedin.com/learning/human-resources-managing-employee-problems?trk=ondemandfile" TargetMode="External"/><Relationship Id="rId1586" Type="http://schemas.openxmlformats.org/officeDocument/2006/relationships/hyperlink" Target="https://www.linkedin.com/learning/how-to-effectively-deliver-criticism?trk=ondemandfile" TargetMode="External"/><Relationship Id="rId2433" Type="http://schemas.openxmlformats.org/officeDocument/2006/relationships/hyperlink" Target="https://www.linkedin.com/learning/driving-workplace-happiness?trk=ondemandfile" TargetMode="External"/><Relationship Id="rId1532" Type="http://schemas.openxmlformats.org/officeDocument/2006/relationships/hyperlink" Target="https://www.linkedin.com/learning/paths/grow-your-impact-as-a-mentor?trk=ondemandfile" TargetMode="External"/><Relationship Id="rId1533" Type="http://schemas.openxmlformats.org/officeDocument/2006/relationships/hyperlink" Target="https://www.linkedin.com/learning/creating-the-conditions-for-others-to-thrive?trk=ondemandfile" TargetMode="External"/><Relationship Id="rId1534" Type="http://schemas.openxmlformats.org/officeDocument/2006/relationships/hyperlink" Target="https://www.linkedin.com/learning/paths/improve-your-coaching-skills-as-a-manager?trk=ondemandfile" TargetMode="External"/><Relationship Id="rId1535" Type="http://schemas.openxmlformats.org/officeDocument/2006/relationships/hyperlink" Target="https://www.linkedin.com/learning/employee-experience?trk=ondemandfile" TargetMode="External"/><Relationship Id="rId1536" Type="http://schemas.openxmlformats.org/officeDocument/2006/relationships/hyperlink" Target="https://www.linkedin.com/learning/paths/managing-and-leading-developers?trk=ondemandfile" TargetMode="External"/><Relationship Id="rId1537" Type="http://schemas.openxmlformats.org/officeDocument/2006/relationships/hyperlink" Target="https://www.linkedin.com/learning/managing-new-managers?trk=ondemandfile" TargetMode="External"/><Relationship Id="rId1538" Type="http://schemas.openxmlformats.org/officeDocument/2006/relationships/hyperlink" Target="https://www.linkedin.com/learning/paths/managing-others-effectively-3?trk=ondemandfile" TargetMode="External"/><Relationship Id="rId1539" Type="http://schemas.openxmlformats.org/officeDocument/2006/relationships/hyperlink" Target="https://www.linkedin.com/learning/coaching-new-managers?trk=ondemandfile" TargetMode="External"/><Relationship Id="rId949" Type="http://schemas.openxmlformats.org/officeDocument/2006/relationships/hyperlink" Target="https://www.linkedin.com/learning/designing-a-training-program-setting-goals-objectives-and-mediums?trk=ondemandfile" TargetMode="External"/><Relationship Id="rId948" Type="http://schemas.openxmlformats.org/officeDocument/2006/relationships/hyperlink" Target="https://www.linkedin.com/learning/camtasia-2019-essential-training-advanced-techniques?trk=ondemandfile" TargetMode="External"/><Relationship Id="rId943" Type="http://schemas.openxmlformats.org/officeDocument/2006/relationships/hyperlink" Target="https://www.linkedin.com/learning/articulate-360-interactive-learning?trk=ondemandfile" TargetMode="External"/><Relationship Id="rId942" Type="http://schemas.openxmlformats.org/officeDocument/2006/relationships/hyperlink" Target="https://www.linkedin.com/learning/design-thinking-implementing-the-process?trk=ondemandfile" TargetMode="External"/><Relationship Id="rId941" Type="http://schemas.openxmlformats.org/officeDocument/2006/relationships/hyperlink" Target="https://www.linkedin.com/learning/graphic-design-foundations-ideas-concepts-and-form?trk=ondemandfile" TargetMode="External"/><Relationship Id="rId940" Type="http://schemas.openxmlformats.org/officeDocument/2006/relationships/hyperlink" Target="https://www.linkedin.com/learning/cert-prep-adobe-certified-associate-indesign-2?trk=ondemandfile" TargetMode="External"/><Relationship Id="rId947" Type="http://schemas.openxmlformats.org/officeDocument/2006/relationships/hyperlink" Target="https://www.linkedin.com/learning/articulate-360-advanced-actions-2?trk=ondemandfile" TargetMode="External"/><Relationship Id="rId946" Type="http://schemas.openxmlformats.org/officeDocument/2006/relationships/hyperlink" Target="https://www.linkedin.com/learning/ux-deep-dive-remote-research?trk=ondemandfile" TargetMode="External"/><Relationship Id="rId945" Type="http://schemas.openxmlformats.org/officeDocument/2006/relationships/hyperlink" Target="https://www.linkedin.com/learning/getting-executive-buy-in-and-support-for-your-l-d-program?trk=ondemandfile" TargetMode="External"/><Relationship Id="rId944" Type="http://schemas.openxmlformats.org/officeDocument/2006/relationships/hyperlink" Target="https://www.linkedin.com/learning/gaining-internal-buy-in-for-elearning-training?trk=ondemandfile" TargetMode="External"/><Relationship Id="rId1530" Type="http://schemas.openxmlformats.org/officeDocument/2006/relationships/hyperlink" Target="https://www.linkedin.com/learning/paths/develop-motivate-and-retain-employees?trk=ondemandfile" TargetMode="External"/><Relationship Id="rId1531" Type="http://schemas.openxmlformats.org/officeDocument/2006/relationships/hyperlink" Target="https://www.linkedin.com/learning/goal-setting-objectives-and-key-results-okrs?trk=ondemandfile" TargetMode="External"/><Relationship Id="rId1521" Type="http://schemas.openxmlformats.org/officeDocument/2006/relationships/hyperlink" Target="https://www.linkedin.com/learning/redesigning-how-we-work-in-2021?trk=ondemandfile" TargetMode="External"/><Relationship Id="rId1522" Type="http://schemas.openxmlformats.org/officeDocument/2006/relationships/hyperlink" Target="https://www.linkedin.com/learning/leading-with-a-heavy-heart?trk=ondemandfile" TargetMode="External"/><Relationship Id="rId1523" Type="http://schemas.openxmlformats.org/officeDocument/2006/relationships/hyperlink" Target="https://www.linkedin.com/learning/leading-the-organization-monthly?trk=ondemandfile" TargetMode="External"/><Relationship Id="rId1524" Type="http://schemas.openxmlformats.org/officeDocument/2006/relationships/hyperlink" Target="https://www.linkedin.com/learning/paths/advance-your-skills-as-a-manager?trk=ondemandfile" TargetMode="External"/><Relationship Id="rId1525" Type="http://schemas.openxmlformats.org/officeDocument/2006/relationships/hyperlink" Target="https://www.linkedin.com/learning/the-new-rules-of-work?trk=ondemandfile" TargetMode="External"/><Relationship Id="rId1526" Type="http://schemas.openxmlformats.org/officeDocument/2006/relationships/hyperlink" Target="https://www.linkedin.com/learning/paths/become-a-manager?trk=ondemandfile" TargetMode="External"/><Relationship Id="rId1527" Type="http://schemas.openxmlformats.org/officeDocument/2006/relationships/hyperlink" Target="https://www.linkedin.com/learning/managing-globally?trk=ondemandfile" TargetMode="External"/><Relationship Id="rId1528" Type="http://schemas.openxmlformats.org/officeDocument/2006/relationships/hyperlink" Target="https://www.linkedin.com/learning/paths/become-a-senior-manager?trk=ondemandfile" TargetMode="External"/><Relationship Id="rId1529" Type="http://schemas.openxmlformats.org/officeDocument/2006/relationships/hyperlink" Target="https://www.linkedin.com/learning/talent-management?trk=ondemandfile" TargetMode="External"/><Relationship Id="rId939" Type="http://schemas.openxmlformats.org/officeDocument/2006/relationships/hyperlink" Target="https://www.linkedin.com/learning/foundations-of-learning-management-systems-lms-2021?trk=ondemandfile" TargetMode="External"/><Relationship Id="rId938" Type="http://schemas.openxmlformats.org/officeDocument/2006/relationships/hyperlink" Target="https://www.linkedin.com/learning/getting-started-as-a-linkedin-learning-hub-admin?trk=ondemandfile" TargetMode="External"/><Relationship Id="rId937" Type="http://schemas.openxmlformats.org/officeDocument/2006/relationships/hyperlink" Target="https://www.linkedin.com/learning/producing-screencast-videos-on-a-pc?trk=ondemandfile" TargetMode="External"/><Relationship Id="rId932" Type="http://schemas.openxmlformats.org/officeDocument/2006/relationships/hyperlink" Target="https://www.linkedin.com/learning/learning-moodle-3-9?trk=ondemandfile" TargetMode="External"/><Relationship Id="rId931" Type="http://schemas.openxmlformats.org/officeDocument/2006/relationships/hyperlink" Target="https://www.linkedin.com/learning/learning-to-teach-online-2?trk=ondemandfile" TargetMode="External"/><Relationship Id="rId930" Type="http://schemas.openxmlformats.org/officeDocument/2006/relationships/hyperlink" Target="https://www.linkedin.com/learning/using-humor-in-training-to-eng-age-your-audience?trk=ondemandfile" TargetMode="External"/><Relationship Id="rId936" Type="http://schemas.openxmlformats.org/officeDocument/2006/relationships/hyperlink" Target="https://www.linkedin.com/learning/components-of-effective-learning?trk=ondemandfile" TargetMode="External"/><Relationship Id="rId935" Type="http://schemas.openxmlformats.org/officeDocument/2006/relationships/hyperlink" Target="https://www.linkedin.com/learning/pivoting-to-virtual-events?trk=ondemandfile" TargetMode="External"/><Relationship Id="rId934" Type="http://schemas.openxmlformats.org/officeDocument/2006/relationships/hyperlink" Target="https://www.linkedin.com/learning/empathy-in-business-design-for-success?trk=ondemandfile" TargetMode="External"/><Relationship Id="rId933" Type="http://schemas.openxmlformats.org/officeDocument/2006/relationships/hyperlink" Target="https://www.linkedin.com/learning/how-to-turn-your-entrepreneur-journey-into-a-successful-keynote-talk?trk=ondemandfile" TargetMode="External"/><Relationship Id="rId1520" Type="http://schemas.openxmlformats.org/officeDocument/2006/relationships/hyperlink" Target="https://www.linkedin.com/learning/communicating-internally-during-times-of-uncertainty?trk=ondemandfile" TargetMode="External"/><Relationship Id="rId1554" Type="http://schemas.openxmlformats.org/officeDocument/2006/relationships/hyperlink" Target="https://www.linkedin.com/learning/management-top-tips?trk=ondemandfile" TargetMode="External"/><Relationship Id="rId2401" Type="http://schemas.openxmlformats.org/officeDocument/2006/relationships/hyperlink" Target="https://www.linkedin.com/learning/how-to-use-rejection-to-your-advantage?trk=ondemandfile" TargetMode="External"/><Relationship Id="rId1555" Type="http://schemas.openxmlformats.org/officeDocument/2006/relationships/hyperlink" Target="https://www.linkedin.com/learning/managing-teams-2018?trk=ondemandfile" TargetMode="External"/><Relationship Id="rId2402" Type="http://schemas.openxmlformats.org/officeDocument/2006/relationships/hyperlink" Target="https://www.linkedin.com/learning/mindful-team-building?trk=ondemandfile" TargetMode="External"/><Relationship Id="rId1556" Type="http://schemas.openxmlformats.org/officeDocument/2006/relationships/hyperlink" Target="https://www.linkedin.com/learning/managing-temporary-and-contract-employees?trk=ondemandfile" TargetMode="External"/><Relationship Id="rId2403" Type="http://schemas.openxmlformats.org/officeDocument/2006/relationships/hyperlink" Target="https://www.linkedin.com/learning/improving-emotional-intelligence-with-mindfulness?trk=ondemandfile" TargetMode="External"/><Relationship Id="rId1557" Type="http://schemas.openxmlformats.org/officeDocument/2006/relationships/hyperlink" Target="https://www.linkedin.com/learning/motivating-and-engaging-employees-2?trk=ondemandfile" TargetMode="External"/><Relationship Id="rId2404" Type="http://schemas.openxmlformats.org/officeDocument/2006/relationships/hyperlink" Target="https://www.linkedin.com/learning/mindful-eating?trk=ondemandfile" TargetMode="External"/><Relationship Id="rId1558" Type="http://schemas.openxmlformats.org/officeDocument/2006/relationships/hyperlink" Target="https://www.linkedin.com/learning/building-change-capability-for-managers?trk=ondemandfile" TargetMode="External"/><Relationship Id="rId2405" Type="http://schemas.openxmlformats.org/officeDocument/2006/relationships/hyperlink" Target="https://www.linkedin.com/learning/mindfulness-diversity-and-the-quest-for-inclusion?trk=ondemandfile" TargetMode="External"/><Relationship Id="rId1559" Type="http://schemas.openxmlformats.org/officeDocument/2006/relationships/hyperlink" Target="https://www.linkedin.com/learning/managing-introverts?trk=ondemandfile" TargetMode="External"/><Relationship Id="rId2406" Type="http://schemas.openxmlformats.org/officeDocument/2006/relationships/hyperlink" Target="https://www.linkedin.com/learning/habits-for-becoming-your-most-effective-self?trk=ondemandfile" TargetMode="External"/><Relationship Id="rId2407" Type="http://schemas.openxmlformats.org/officeDocument/2006/relationships/hyperlink" Target="https://www.linkedin.com/learning/manage-burnout-at-work-with-these-simple-strategies?trk=ondemandfile" TargetMode="External"/><Relationship Id="rId2408" Type="http://schemas.openxmlformats.org/officeDocument/2006/relationships/hyperlink" Target="https://www.linkedin.com/learning/don-t-take-yes-for-an-answer-blinkist-summary?trk=ondemandfile" TargetMode="External"/><Relationship Id="rId2409" Type="http://schemas.openxmlformats.org/officeDocument/2006/relationships/hyperlink" Target="https://www.linkedin.com/learning/strategies-to-get-and-stay-unstuck?trk=ondemandfile" TargetMode="External"/><Relationship Id="rId965" Type="http://schemas.openxmlformats.org/officeDocument/2006/relationships/hyperlink" Target="https://www.linkedin.com/learning/running-a-design-business-writing-and-pricing-winning-proposals?trk=ondemandfile" TargetMode="External"/><Relationship Id="rId964" Type="http://schemas.openxmlformats.org/officeDocument/2006/relationships/hyperlink" Target="https://www.linkedin.com/learning/technology-and-design-ethics?trk=ondemandfile" TargetMode="External"/><Relationship Id="rId963" Type="http://schemas.openxmlformats.org/officeDocument/2006/relationships/hyperlink" Target="https://www.linkedin.com/learning/color-trends?trk=ondemandfile" TargetMode="External"/><Relationship Id="rId962" Type="http://schemas.openxmlformats.org/officeDocument/2006/relationships/hyperlink" Target="https://www.linkedin.com/learning/design-thinking-at-work-getabstract-summary?trk=ondemandfile" TargetMode="External"/><Relationship Id="rId969" Type="http://schemas.openxmlformats.org/officeDocument/2006/relationships/hyperlink" Target="https://www.linkedin.com/learning/corporate-finance-profitability-in-a-financial-downturn?trk=ondemandfile" TargetMode="External"/><Relationship Id="rId968" Type="http://schemas.openxmlformats.org/officeDocument/2006/relationships/hyperlink" Target="https://www.linkedin.com/learning/paths/become-an-accounts-payable-officer-2?trk=ondemandfile" TargetMode="External"/><Relationship Id="rId967" Type="http://schemas.openxmlformats.org/officeDocument/2006/relationships/hyperlink" Target="https://www.linkedin.com/learning/emerging-financial-risk-management?trk=ondemandfile" TargetMode="External"/><Relationship Id="rId966" Type="http://schemas.openxmlformats.org/officeDocument/2006/relationships/hyperlink" Target="https://www.linkedin.com/learning/design-thinking-understanding-the-process?trk=ondemandfile" TargetMode="External"/><Relationship Id="rId961" Type="http://schemas.openxmlformats.org/officeDocument/2006/relationships/hyperlink" Target="https://www.linkedin.com/learning/data-driven-learning-design?trk=ondemandfile" TargetMode="External"/><Relationship Id="rId1550" Type="http://schemas.openxmlformats.org/officeDocument/2006/relationships/hyperlink" Target="https://www.linkedin.com/learning/new-manager-foundations-2?trk=ondemandfile" TargetMode="External"/><Relationship Id="rId960" Type="http://schemas.openxmlformats.org/officeDocument/2006/relationships/hyperlink" Target="https://www.linkedin.com/learning/using-neuroscience-for-more-effective-l-d?trk=ondemandfile" TargetMode="External"/><Relationship Id="rId1551" Type="http://schemas.openxmlformats.org/officeDocument/2006/relationships/hyperlink" Target="https://www.linkedin.com/learning/performance-management-setting-goals-and-managing-performance?trk=ondemandfile" TargetMode="External"/><Relationship Id="rId1552" Type="http://schemas.openxmlformats.org/officeDocument/2006/relationships/hyperlink" Target="https://www.linkedin.com/learning/leading-virtual-meetings?trk=ondemandfile" TargetMode="External"/><Relationship Id="rId1553" Type="http://schemas.openxmlformats.org/officeDocument/2006/relationships/hyperlink" Target="https://www.linkedin.com/learning/coaching-and-developing-employees-2019?trk=ondemandfile" TargetMode="External"/><Relationship Id="rId2400" Type="http://schemas.openxmlformats.org/officeDocument/2006/relationships/hyperlink" Target="https://www.linkedin.com/learning/aligning-your-values-with-work-life-and-everything-in-between?trk=ondemandfile" TargetMode="External"/><Relationship Id="rId1543" Type="http://schemas.openxmlformats.org/officeDocument/2006/relationships/hyperlink" Target="https://www.linkedin.com/learning/how-to-give-and-receive-useful-feedback-every-month?trk=ondemandfile" TargetMode="External"/><Relationship Id="rId1544" Type="http://schemas.openxmlformats.org/officeDocument/2006/relationships/hyperlink" Target="https://www.linkedin.com/learning/simple-manager-tools-that-cure-the-under-management-epi-demic?trk=ondemandfile" TargetMode="External"/><Relationship Id="rId1545" Type="http://schemas.openxmlformats.org/officeDocument/2006/relationships/hyperlink" Target="https://www.linkedin.com/learning/implementing-continuous-impro-vement-a-case-study?trk=ondemandfile" TargetMode="External"/><Relationship Id="rId1546" Type="http://schemas.openxmlformats.org/officeDocument/2006/relationships/hyperlink" Target="https://www.linkedin.com/learning/culture-of-kaizen?trk=ondemandfile" TargetMode="External"/><Relationship Id="rId1547" Type="http://schemas.openxmlformats.org/officeDocument/2006/relationships/hyperlink" Target="https://www.linkedin.com/learning/managers-as-multipliers-of-well-being?trk=ondemandfile" TargetMode="External"/><Relationship Id="rId1548" Type="http://schemas.openxmlformats.org/officeDocument/2006/relationships/hyperlink" Target="https://www.linkedin.com/learning/motivate-remote-teams?trk=ondemandfile" TargetMode="External"/><Relationship Id="rId1549" Type="http://schemas.openxmlformats.org/officeDocument/2006/relationships/hyperlink" Target="https://www.linkedin.com/learning/identify-and-unleash-potential-in-your-employees?trk=ondemandfile" TargetMode="External"/><Relationship Id="rId959" Type="http://schemas.openxmlformats.org/officeDocument/2006/relationships/hyperlink" Target="https://www.linkedin.com/learning/leveraging-neuroscience-for-business-impact?trk=ondemandfile" TargetMode="External"/><Relationship Id="rId954" Type="http://schemas.openxmlformats.org/officeDocument/2006/relationships/hyperlink" Target="https://www.linkedin.com/learning/adobe-captivate-advanced-actions?trk=ondemandfile" TargetMode="External"/><Relationship Id="rId953" Type="http://schemas.openxmlformats.org/officeDocument/2006/relationships/hyperlink" Target="https://www.linkedin.com/learning/applied-interaction-design-managing-comments?trk=ondemandfile" TargetMode="External"/><Relationship Id="rId952" Type="http://schemas.openxmlformats.org/officeDocument/2006/relationships/hyperlink" Target="https://www.linkedin.com/learning/interaction-design-interface?trk=ondemandfile" TargetMode="External"/><Relationship Id="rId951" Type="http://schemas.openxmlformats.org/officeDocument/2006/relationships/hyperlink" Target="https://www.linkedin.com/learning/practical-success-metrics-in-your-training-program?trk=ondemandfile" TargetMode="External"/><Relationship Id="rId958" Type="http://schemas.openxmlformats.org/officeDocument/2006/relationships/hyperlink" Target="https://www.linkedin.com/learning/applying-analytics-to-your-learning-program?trk=ondemandfile" TargetMode="External"/><Relationship Id="rId957" Type="http://schemas.openxmlformats.org/officeDocument/2006/relationships/hyperlink" Target="https://www.linkedin.com/learning/20-questions-to-improve-learning-at-your-organization?trk=ondemandfile" TargetMode="External"/><Relationship Id="rId956" Type="http://schemas.openxmlformats.org/officeDocument/2006/relationships/hyperlink" Target="https://www.linkedin.com/learning/articulate-storyline-quick-tips?trk=ondemandfile" TargetMode="External"/><Relationship Id="rId955" Type="http://schemas.openxmlformats.org/officeDocument/2006/relationships/hyperlink" Target="https://www.linkedin.com/learning/converting-face-to-face-training-into-digital-learning?trk=ondemandfile" TargetMode="External"/><Relationship Id="rId950" Type="http://schemas.openxmlformats.org/officeDocument/2006/relationships/hyperlink" Target="https://www.linkedin.com/learning/elearning-quick-tips?trk=ondemandfile" TargetMode="External"/><Relationship Id="rId1540" Type="http://schemas.openxmlformats.org/officeDocument/2006/relationships/hyperlink" Target="https://www.linkedin.com/learning/paths/managing-performance?trk=ondemandfile" TargetMode="External"/><Relationship Id="rId1541" Type="http://schemas.openxmlformats.org/officeDocument/2006/relationships/hyperlink" Target="https://www.linkedin.com/learning/how-to-set-team-and-employee-goals?trk=ondemandfile" TargetMode="External"/><Relationship Id="rId1542" Type="http://schemas.openxmlformats.org/officeDocument/2006/relationships/hyperlink" Target="https://www.linkedin.com/learning/paths/master-in-demand-professional-soft-skills?trk=ondemandfile" TargetMode="External"/><Relationship Id="rId2027" Type="http://schemas.openxmlformats.org/officeDocument/2006/relationships/hyperlink" Target="https://www.linkedin.com/learning/change-management-tips-for-individuals?trk=ondemandfile" TargetMode="External"/><Relationship Id="rId2028" Type="http://schemas.openxmlformats.org/officeDocument/2006/relationships/hyperlink" Target="https://www.linkedin.com/learning/business-lessons-from-a-chess-champion?trk=ondemandfile" TargetMode="External"/><Relationship Id="rId2029" Type="http://schemas.openxmlformats.org/officeDocument/2006/relationships/hyperlink" Target="https://www.linkedin.com/learning/supply-chain-analytics-foundations?trk=ondemandfile" TargetMode="External"/><Relationship Id="rId590" Type="http://schemas.openxmlformats.org/officeDocument/2006/relationships/hyperlink" Target="https://www.linkedin.com/learning/disruptive-branding-blinkist-summary?trk=ondemandfile" TargetMode="External"/><Relationship Id="rId107" Type="http://schemas.openxmlformats.org/officeDocument/2006/relationships/hyperlink" Target="https://www.linkedin.com/learning/staying-positive-in-the-face-of-negativity?trk=ondemandfile" TargetMode="External"/><Relationship Id="rId106" Type="http://schemas.openxmlformats.org/officeDocument/2006/relationships/hyperlink" Target="https://www.linkedin.com/learning/building-the-resources-for-resilience?trk=ondemandfile" TargetMode="External"/><Relationship Id="rId105" Type="http://schemas.openxmlformats.org/officeDocument/2006/relationships/hyperlink" Target="https://www.linkedin.com/learning/leading-in-the-moment?trk=ondemandfile" TargetMode="External"/><Relationship Id="rId589" Type="http://schemas.openxmlformats.org/officeDocument/2006/relationships/hyperlink" Target="https://www.linkedin.com/learning/marketing-during-a-crisis?trk=ondemandfile" TargetMode="External"/><Relationship Id="rId104" Type="http://schemas.openxmlformats.org/officeDocument/2006/relationships/hyperlink" Target="https://www.linkedin.com/learning/leading-your-team-through-actionable-change?trk=ondemandfile" TargetMode="External"/><Relationship Id="rId588" Type="http://schemas.openxmlformats.org/officeDocument/2006/relationships/hyperlink" Target="https://www.linkedin.com/learning/introduction-to-content-marketing-2?trk=ondemandfile" TargetMode="External"/><Relationship Id="rId109" Type="http://schemas.openxmlformats.org/officeDocument/2006/relationships/hyperlink" Target="https://www.linkedin.com/learning/adaptive-leadership-for-vuca-challenges?trk=ondemandfile" TargetMode="External"/><Relationship Id="rId1170" Type="http://schemas.openxmlformats.org/officeDocument/2006/relationships/hyperlink" Target="https://www.linkedin.com/learning/paths/advance-your-skills-as-an-it-help-desk-specialist?trk=ondemandfile" TargetMode="External"/><Relationship Id="rId108" Type="http://schemas.openxmlformats.org/officeDocument/2006/relationships/hyperlink" Target="https://www.linkedin.com/learning/improve-cognitive-flexibility-at-work?trk=ondemandfile" TargetMode="External"/><Relationship Id="rId1171" Type="http://schemas.openxmlformats.org/officeDocument/2006/relationships/hyperlink" Target="https://www.linkedin.com/learning/agile-software-development-transforming-your-organization?trk=ondemandfile" TargetMode="External"/><Relationship Id="rId583" Type="http://schemas.openxmlformats.org/officeDocument/2006/relationships/hyperlink" Target="https://www.linkedin.com/learning/creating-social-content-with-adobe-animate-cc?trk=ondemandfile" TargetMode="External"/><Relationship Id="rId1172" Type="http://schemas.openxmlformats.org/officeDocument/2006/relationships/hyperlink" Target="https://www.linkedin.com/learning/paths/advance-your-skills-in-ai-and-machine-learning?trk=ondemandfile" TargetMode="External"/><Relationship Id="rId582" Type="http://schemas.openxmlformats.org/officeDocument/2006/relationships/hyperlink" Target="https://www.linkedin.com/learning/designing-for-business?trk=contentmappingfile" TargetMode="External"/><Relationship Id="rId1173" Type="http://schemas.openxmlformats.org/officeDocument/2006/relationships/hyperlink" Target="https://www.linkedin.com/learning/accelerating-digital-transformation-as-offices-reopen?trk=ondemandfile" TargetMode="External"/><Relationship Id="rId2020" Type="http://schemas.openxmlformats.org/officeDocument/2006/relationships/hyperlink" Target="https://www.linkedin.com/learning/business-development-strategic-planning?trk=ondemandfile" TargetMode="External"/><Relationship Id="rId581" Type="http://schemas.openxmlformats.org/officeDocument/2006/relationships/hyperlink" Target="https://www.linkedin.com/learning/retail-marketing-strategy?trk=ondemandfile" TargetMode="External"/><Relationship Id="rId1174" Type="http://schemas.openxmlformats.org/officeDocument/2006/relationships/hyperlink" Target="https://www.linkedin.com/learning/paths/advance-your-skills-as-a-computer-forensics-specialist?trk=ondemandfile" TargetMode="External"/><Relationship Id="rId2021" Type="http://schemas.openxmlformats.org/officeDocument/2006/relationships/hyperlink" Target="https://www.linkedin.com/learning/adaptive-leadership-for-vuca-challenges?trk=ondemandfile" TargetMode="External"/><Relationship Id="rId580" Type="http://schemas.openxmlformats.org/officeDocument/2006/relationships/hyperlink" Target="https://www.linkedin.com/learning/market-research-b2b?trk=ondemandfile" TargetMode="External"/><Relationship Id="rId1175" Type="http://schemas.openxmlformats.org/officeDocument/2006/relationships/hyperlink" Target="https://www.linkedin.com/learning/foundations-of-the-fourth-industrial-revolution-industry-4-0?trk=ondemandfile" TargetMode="External"/><Relationship Id="rId2022" Type="http://schemas.openxmlformats.org/officeDocument/2006/relationships/hyperlink" Target="https://www.linkedin.com/learning/strategic-thinking?trk=ondemandfile" TargetMode="External"/><Relationship Id="rId103" Type="http://schemas.openxmlformats.org/officeDocument/2006/relationships/hyperlink" Target="https://www.linkedin.com/learning/developing-adaptability-as-a-manager?trk=ondemandfile" TargetMode="External"/><Relationship Id="rId587" Type="http://schemas.openxmlformats.org/officeDocument/2006/relationships/hyperlink" Target="https://www.linkedin.com/learning/seo-foundations?trk=ondemandfile" TargetMode="External"/><Relationship Id="rId1176" Type="http://schemas.openxmlformats.org/officeDocument/2006/relationships/hyperlink" Target="https://www.linkedin.com/learning/paths/advance-your-skills-in-deep-learning-and-neural-networks?trk=ondemandfile" TargetMode="External"/><Relationship Id="rId2023" Type="http://schemas.openxmlformats.org/officeDocument/2006/relationships/hyperlink" Target="https://www.linkedin.com/learning/defining-and-segmenting-competition?trk=ondemandfile" TargetMode="External"/><Relationship Id="rId102" Type="http://schemas.openxmlformats.org/officeDocument/2006/relationships/hyperlink" Target="https://www.linkedin.com/learning/managing-organizational-change-for-managers?trk=ondemandfile" TargetMode="External"/><Relationship Id="rId586" Type="http://schemas.openxmlformats.org/officeDocument/2006/relationships/hyperlink" Target="https://www.linkedin.com/learning/jonah-berger-on-viral-marketing?trk=ondemandfile" TargetMode="External"/><Relationship Id="rId1177" Type="http://schemas.openxmlformats.org/officeDocument/2006/relationships/hyperlink" Target="https://www.linkedin.com/learning/lean-technology-strategy-managing-the-innovation-portfolio?trk=ondemandfile" TargetMode="External"/><Relationship Id="rId2024" Type="http://schemas.openxmlformats.org/officeDocument/2006/relationships/hyperlink" Target="https://www.linkedin.com/learning/creating-a-unique-competitive-advantage?trk=ondemandfile" TargetMode="External"/><Relationship Id="rId101" Type="http://schemas.openxmlformats.org/officeDocument/2006/relationships/hyperlink" Target="https://www.linkedin.com/learning/unleash-your-team-s-creativity?trk=ondemandfile" TargetMode="External"/><Relationship Id="rId585" Type="http://schemas.openxmlformats.org/officeDocument/2006/relationships/hyperlink" Target="https://www.linkedin.com/learning/social-media-marketing-for-small-business?trk=ondemandfile" TargetMode="External"/><Relationship Id="rId1178" Type="http://schemas.openxmlformats.org/officeDocument/2006/relationships/hyperlink" Target="https://www.linkedin.com/learning/paths/master-the-fundamentals-of-ai-and-machine-learning?trk=ondemandfile" TargetMode="External"/><Relationship Id="rId2025" Type="http://schemas.openxmlformats.org/officeDocument/2006/relationships/hyperlink" Target="https://www.linkedin.com/learning/introduction-to-business-analytics?trk=ondemandfile" TargetMode="External"/><Relationship Id="rId100" Type="http://schemas.openxmlformats.org/officeDocument/2006/relationships/hyperlink" Target="https://www.linkedin.com/learning/communicating-in-times-of-change?trk=ondemandfile" TargetMode="External"/><Relationship Id="rId584" Type="http://schemas.openxmlformats.org/officeDocument/2006/relationships/hyperlink" Target="https://www.linkedin.com/learning/social-media-for-video-pros?trk=ondemandfile" TargetMode="External"/><Relationship Id="rId1179" Type="http://schemas.openxmlformats.org/officeDocument/2006/relationships/hyperlink" Target="https://www.linkedin.com/learning/devops-foundations-transforming-the-enterprise?trk=ondemandfile" TargetMode="External"/><Relationship Id="rId2026" Type="http://schemas.openxmlformats.org/officeDocument/2006/relationships/hyperlink" Target="https://www.linkedin.com/learning/outsourcing-managing-service-transition?trk=ondemandfile" TargetMode="External"/><Relationship Id="rId1169" Type="http://schemas.openxmlformats.org/officeDocument/2006/relationships/hyperlink" Target="https://www.linkedin.com/learning/ai-foundations-neural-networks?trk=ondemandfile" TargetMode="External"/><Relationship Id="rId2016" Type="http://schemas.openxmlformats.org/officeDocument/2006/relationships/hyperlink" Target="https://www.linkedin.com/learning/developing-executive-presence?trk=ondemandfile" TargetMode="External"/><Relationship Id="rId2017" Type="http://schemas.openxmlformats.org/officeDocument/2006/relationships/hyperlink" Target="https://www.linkedin.com/learning/change-management-tips-for-leaders?trk=ondemandfile" TargetMode="External"/><Relationship Id="rId2018" Type="http://schemas.openxmlformats.org/officeDocument/2006/relationships/hyperlink" Target="https://www.linkedin.com/learning/the-secret-what-great-leaders-know-and-do-getabstract-summary?trk=ondemandfile" TargetMode="External"/><Relationship Id="rId2019" Type="http://schemas.openxmlformats.org/officeDocument/2006/relationships/hyperlink" Target="https://www.linkedin.com/learning/how-to-become-a-thought-leader-and-advance-your-career?trk=ondemandfile" TargetMode="External"/><Relationship Id="rId579" Type="http://schemas.openxmlformats.org/officeDocument/2006/relationships/hyperlink" Target="https://www.linkedin.com/learning/ecommerce-with-facebook-and-instagram?trk=ondemandfile" TargetMode="External"/><Relationship Id="rId578" Type="http://schemas.openxmlformats.org/officeDocument/2006/relationships/hyperlink" Target="https://www.linkedin.com/learning/content-creation-strategy-and-tools?trk=ondemandfile" TargetMode="External"/><Relationship Id="rId577" Type="http://schemas.openxmlformats.org/officeDocument/2006/relationships/hyperlink" Target="https://www.linkedin.com/learning/social-media-stories-creative-strategies-and-tips?trk=ondemandfile" TargetMode="External"/><Relationship Id="rId2490" Type="http://schemas.openxmlformats.org/officeDocument/2006/relationships/hyperlink" Target="https://www.linkedin.com/learning/paths/managing-and-leading-developers?trk=ondemandfile" TargetMode="External"/><Relationship Id="rId1160" Type="http://schemas.openxmlformats.org/officeDocument/2006/relationships/hyperlink" Target="https://www.linkedin.com/learning/negotiating-power-and-preventing-harassment?trk=ondemandfile" TargetMode="External"/><Relationship Id="rId2491" Type="http://schemas.openxmlformats.org/officeDocument/2006/relationships/hyperlink" Target="https://www.linkedin.com/learning/transition-from-manager-to-leader?trk=ondemandfile" TargetMode="External"/><Relationship Id="rId572" Type="http://schemas.openxmlformats.org/officeDocument/2006/relationships/hyperlink" Target="https://www.linkedin.com/learning/metaverse-and-nfts-for-marketing?trk=ondemandfile" TargetMode="External"/><Relationship Id="rId1161" Type="http://schemas.openxmlformats.org/officeDocument/2006/relationships/hyperlink" Target="https://www.linkedin.com/learning/adding-value-through-diversity?trk=ondemandfile" TargetMode="External"/><Relationship Id="rId2492" Type="http://schemas.openxmlformats.org/officeDocument/2006/relationships/hyperlink" Target="https://www.linkedin.com/learning/paths/managing-others-effectively-3?trk=ondemandfile" TargetMode="External"/><Relationship Id="rId571" Type="http://schemas.openxmlformats.org/officeDocument/2006/relationships/hyperlink" Target="https://www.linkedin.com/learning/brand-design-foundations?trk=contentmappingfile" TargetMode="External"/><Relationship Id="rId1162" Type="http://schemas.openxmlformats.org/officeDocument/2006/relationships/hyperlink" Target="https://www.linkedin.com/learning/addiction-a-community-issue?trk=ondemandfile" TargetMode="External"/><Relationship Id="rId2493" Type="http://schemas.openxmlformats.org/officeDocument/2006/relationships/hyperlink" Target="https://www.linkedin.com/learning/transformational-leadership?trk=ondemandfile" TargetMode="External"/><Relationship Id="rId570" Type="http://schemas.openxmlformats.org/officeDocument/2006/relationships/hyperlink" Target="https://www.linkedin.com/learning/social-media-for-working-professionals?trk=contentmappingfile" TargetMode="External"/><Relationship Id="rId1163" Type="http://schemas.openxmlformats.org/officeDocument/2006/relationships/hyperlink" Target="https://www.linkedin.com/learning/mba-in-digital-ops?trk=ondemandfile" TargetMode="External"/><Relationship Id="rId2010" Type="http://schemas.openxmlformats.org/officeDocument/2006/relationships/hyperlink" Target="https://www.linkedin.com/learning/management-foundations-2018?trk=ondemandfile" TargetMode="External"/><Relationship Id="rId2494" Type="http://schemas.openxmlformats.org/officeDocument/2006/relationships/hyperlink" Target="https://www.linkedin.com/learning/paths/master-in-demand-skills-for-technology-leadership?trk=ondemandfile" TargetMode="External"/><Relationship Id="rId1164" Type="http://schemas.openxmlformats.org/officeDocument/2006/relationships/hyperlink" Target="https://www.linkedin.com/learning/paths/applying-lean-devops-and-agile-to-your-it-organization?trk=ondemandfile" TargetMode="External"/><Relationship Id="rId2011" Type="http://schemas.openxmlformats.org/officeDocument/2006/relationships/hyperlink" Target="https://www.linkedin.com/learning/how-to-be-more-strategic-in-six-steps?trk=contentmappingfile" TargetMode="External"/><Relationship Id="rId2495" Type="http://schemas.openxmlformats.org/officeDocument/2006/relationships/hyperlink" Target="https://www.linkedin.com/learning/building-resilience-as-a-leader?trk=ondemandfile" TargetMode="External"/><Relationship Id="rId576" Type="http://schemas.openxmlformats.org/officeDocument/2006/relationships/hyperlink" Target="https://www.linkedin.com/learning/content-strategy-for-marketers?trk=ondemandfile" TargetMode="External"/><Relationship Id="rId1165" Type="http://schemas.openxmlformats.org/officeDocument/2006/relationships/hyperlink" Target="https://www.linkedin.com/learning/ai-foundations-thinking-machines?trk=ondemandfile" TargetMode="External"/><Relationship Id="rId2012" Type="http://schemas.openxmlformats.org/officeDocument/2006/relationships/hyperlink" Target="https://www.linkedin.com/learning/business-law-for-managers?trk=ondemandfile" TargetMode="External"/><Relationship Id="rId2496" Type="http://schemas.openxmlformats.org/officeDocument/2006/relationships/hyperlink" Target="https://www.linkedin.com/learning/paths/women-in-leadership-3?trk=ondemandfile" TargetMode="External"/><Relationship Id="rId575" Type="http://schemas.openxmlformats.org/officeDocument/2006/relationships/hyperlink" Target="https://www.linkedin.com/learning/brand-strategy-management-of-your-brand-reputation?trk=ondemandfile" TargetMode="External"/><Relationship Id="rId1166" Type="http://schemas.openxmlformats.org/officeDocument/2006/relationships/hyperlink" Target="https://www.linkedin.com/learning/paths/advance-your-skills-in-the-blockchain?trk=ondemandfile" TargetMode="External"/><Relationship Id="rId2013" Type="http://schemas.openxmlformats.org/officeDocument/2006/relationships/hyperlink" Target="https://www.linkedin.com/learning/everything-as-a-service-xaas-is-the-future-of-business?trk=ondemandfile" TargetMode="External"/><Relationship Id="rId2497" Type="http://schemas.openxmlformats.org/officeDocument/2006/relationships/hyperlink" Target="https://www.linkedin.com/learning/working-with-an-executive-coach?trk=ondemandfile" TargetMode="External"/><Relationship Id="rId574" Type="http://schemas.openxmlformats.org/officeDocument/2006/relationships/hyperlink" Target="https://www.linkedin.com/learning/marketing-strategy-case-studies-from-leading-brands?trk=ondemandfile" TargetMode="External"/><Relationship Id="rId1167" Type="http://schemas.openxmlformats.org/officeDocument/2006/relationships/hyperlink" Target="https://www.linkedin.com/learning/ai-foundations-machine-learning?trk=ondemandfile" TargetMode="External"/><Relationship Id="rId2014" Type="http://schemas.openxmlformats.org/officeDocument/2006/relationships/hyperlink" Target="https://www.linkedin.com/learning/mulitpliers?trk=ondemandfile" TargetMode="External"/><Relationship Id="rId2498" Type="http://schemas.openxmlformats.org/officeDocument/2006/relationships/hyperlink" Target="https://www.linkedin.com/learning/managing-new-managers?trk=ondemandfile" TargetMode="External"/><Relationship Id="rId573" Type="http://schemas.openxmlformats.org/officeDocument/2006/relationships/hyperlink" Target="https://www.linkedin.com/learning/marketing-on-facebook-14487220?trk=ondemandfile" TargetMode="External"/><Relationship Id="rId1168" Type="http://schemas.openxmlformats.org/officeDocument/2006/relationships/hyperlink" Target="https://www.linkedin.com/learning/paths/advance-your-skills-as-an-azure-it-administrator?trk=ondemandfile" TargetMode="External"/><Relationship Id="rId2015" Type="http://schemas.openxmlformats.org/officeDocument/2006/relationships/hyperlink" Target="https://www.linkedin.com/learning/retail-sales-management?trk=ondemandfile" TargetMode="External"/><Relationship Id="rId2499" Type="http://schemas.openxmlformats.org/officeDocument/2006/relationships/hyperlink" Target="https://www.linkedin.com/learning/navigating-executive-politics?trk=ondemandfile" TargetMode="External"/><Relationship Id="rId2049" Type="http://schemas.openxmlformats.org/officeDocument/2006/relationships/hyperlink" Target="https://www.linkedin.com/learning/corporate-finance-strategies-for-business-leaders?trk=ondemandfile" TargetMode="External"/><Relationship Id="rId129" Type="http://schemas.openxmlformats.org/officeDocument/2006/relationships/hyperlink" Target="https://www.linkedin.com/learning/preparing-to-lead-developing-mental-toughness-in-yourself?trk=ondemandfile" TargetMode="External"/><Relationship Id="rId128" Type="http://schemas.openxmlformats.org/officeDocument/2006/relationships/hyperlink" Target="https://www.linkedin.com/learning/embracing-times-of-uncertainty?trk=ondemandfile" TargetMode="External"/><Relationship Id="rId127" Type="http://schemas.openxmlformats.org/officeDocument/2006/relationships/hyperlink" Target="https://www.linkedin.com/learning/harnessing-change-to-unleash-your-potential?trk=ondemandfile" TargetMode="External"/><Relationship Id="rId126" Type="http://schemas.openxmlformats.org/officeDocument/2006/relationships/hyperlink" Target="https://www.linkedin.com/learning/conquering-freak-outs-and-the-fear-of-failure?trk=ondemandfile" TargetMode="External"/><Relationship Id="rId1190" Type="http://schemas.openxmlformats.org/officeDocument/2006/relationships/hyperlink" Target="https://www.linkedin.com/learning/paths/become-an-it-security-specialist?trk=ondemandfile" TargetMode="External"/><Relationship Id="rId1191" Type="http://schemas.openxmlformats.org/officeDocument/2006/relationships/hyperlink" Target="https://www.linkedin.com/learning/artificial-intelligence-and-business-strategy-case-studies?trk=ondemandfile" TargetMode="External"/><Relationship Id="rId1192" Type="http://schemas.openxmlformats.org/officeDocument/2006/relationships/hyperlink" Target="https://www.linkedin.com/learning/paths/become-an-it-support-technician?trk=ondemandfile" TargetMode="External"/><Relationship Id="rId1193" Type="http://schemas.openxmlformats.org/officeDocument/2006/relationships/hyperlink" Target="https://www.linkedin.com/learning/cybersecurity-for-executives?trk=ondemandfile" TargetMode="External"/><Relationship Id="rId2040" Type="http://schemas.openxmlformats.org/officeDocument/2006/relationships/hyperlink" Target="https://www.linkedin.com/learning/the-new-age-of-risk-management-strategy-for-business?trk=ondemandfile" TargetMode="External"/><Relationship Id="rId121" Type="http://schemas.openxmlformats.org/officeDocument/2006/relationships/hyperlink" Target="https://www.linkedin.com/learning/creating-success-from-failures?trk=ondemandfile" TargetMode="External"/><Relationship Id="rId1194" Type="http://schemas.openxmlformats.org/officeDocument/2006/relationships/hyperlink" Target="https://www.linkedin.com/learning/paths/become-an-outlook-2013-microsoft-office-specialist?trk=ondemandfile" TargetMode="External"/><Relationship Id="rId2041" Type="http://schemas.openxmlformats.org/officeDocument/2006/relationships/hyperlink" Target="https://www.linkedin.com/learning/design-of-podcast-emily-cohen-consultant-speaker-brutally-honest?trk=ondemandfile" TargetMode="External"/><Relationship Id="rId120" Type="http://schemas.openxmlformats.org/officeDocument/2006/relationships/hyperlink" Target="https://www.linkedin.com/learning/staying-organized-at-work-and-while-working-remotely?trk=ondemandfile" TargetMode="External"/><Relationship Id="rId1195" Type="http://schemas.openxmlformats.org/officeDocument/2006/relationships/hyperlink" Target="https://www.linkedin.com/learning/data-privacy-michelle-dennedy?trk=ondemandfile" TargetMode="External"/><Relationship Id="rId2042" Type="http://schemas.openxmlformats.org/officeDocument/2006/relationships/hyperlink" Target="https://www.linkedin.com/learning/how-to-make-strategic-thinking-a-habit?trk=ondemandfile" TargetMode="External"/><Relationship Id="rId1196" Type="http://schemas.openxmlformats.org/officeDocument/2006/relationships/hyperlink" Target="https://www.linkedin.com/learning/paths/become-a-powerpoint-2013-microsoft-office-specialist?trk=ondemandfile" TargetMode="External"/><Relationship Id="rId2043" Type="http://schemas.openxmlformats.org/officeDocument/2006/relationships/hyperlink" Target="https://www.linkedin.com/learning/thinking-in-new-boxes-a-new-paradigm-for-business-creativity?trk=ondemandfile" TargetMode="External"/><Relationship Id="rId1197" Type="http://schemas.openxmlformats.org/officeDocument/2006/relationships/hyperlink" Target="https://www.linkedin.com/learning/introduction-to-quantum-computing?trk=ondemandfile" TargetMode="External"/><Relationship Id="rId2044" Type="http://schemas.openxmlformats.org/officeDocument/2006/relationships/hyperlink" Target="https://www.linkedin.com/learning/technology-and-design-ethics?trk=ondemandfile" TargetMode="External"/><Relationship Id="rId125" Type="http://schemas.openxmlformats.org/officeDocument/2006/relationships/hyperlink" Target="https://www.linkedin.com/learning/using-resilience-to-overcome-the-seemingly-impossible?trk=ondemandfile" TargetMode="External"/><Relationship Id="rId1198" Type="http://schemas.openxmlformats.org/officeDocument/2006/relationships/hyperlink" Target="https://www.linkedin.com/learning/paths/become-a-python-developer?trk=ondemandfile" TargetMode="External"/><Relationship Id="rId2045" Type="http://schemas.openxmlformats.org/officeDocument/2006/relationships/hyperlink" Target="https://www.linkedin.com/learning/following-the-digital-thread?trk=ondemandfile" TargetMode="External"/><Relationship Id="rId124" Type="http://schemas.openxmlformats.org/officeDocument/2006/relationships/hyperlink" Target="https://www.linkedin.com/learning/simple-habits-for-complex-times-getabstract-summary?trk=ondemandfile" TargetMode="External"/><Relationship Id="rId1199" Type="http://schemas.openxmlformats.org/officeDocument/2006/relationships/hyperlink" Target="https://www.linkedin.com/learning/introduction-to-digital-twins?trk=ondemandfile" TargetMode="External"/><Relationship Id="rId2046" Type="http://schemas.openxmlformats.org/officeDocument/2006/relationships/hyperlink" Target="https://www.linkedin.com/learning/outsourcing-critical-success-factors?trk=ondemandfile" TargetMode="External"/><Relationship Id="rId123" Type="http://schemas.openxmlformats.org/officeDocument/2006/relationships/hyperlink" Target="https://www.linkedin.com/learning/how-to-use-rejection-to-your-advantage?trk=ondemandfile" TargetMode="External"/><Relationship Id="rId2047" Type="http://schemas.openxmlformats.org/officeDocument/2006/relationships/hyperlink" Target="https://www.linkedin.com/learning/outsourcing-management?trk=ondemandfile" TargetMode="External"/><Relationship Id="rId122" Type="http://schemas.openxmlformats.org/officeDocument/2006/relationships/hyperlink" Target="https://www.linkedin.com/learning/adopting-the-habits-of-elite-performers?trk=ondemandfile" TargetMode="External"/><Relationship Id="rId2048" Type="http://schemas.openxmlformats.org/officeDocument/2006/relationships/hyperlink" Target="https://www.linkedin.com/learning/content-marketing-roi?trk=ondemandfile" TargetMode="External"/><Relationship Id="rId2038" Type="http://schemas.openxmlformats.org/officeDocument/2006/relationships/hyperlink" Target="https://www.linkedin.com/learning/business-analysis-for-busy-professionals?trk=ondemandfile" TargetMode="External"/><Relationship Id="rId2039" Type="http://schemas.openxmlformats.org/officeDocument/2006/relationships/hyperlink" Target="https://www.linkedin.com/learning/conducting-a-swot-analysis?trk=ondemandfile" TargetMode="External"/><Relationship Id="rId118" Type="http://schemas.openxmlformats.org/officeDocument/2006/relationships/hyperlink" Target="https://www.linkedin.com/learning/managing-self-doubt-to-tackle-bigger-challenges?trk=ondemandfile" TargetMode="External"/><Relationship Id="rId117" Type="http://schemas.openxmlformats.org/officeDocument/2006/relationships/hyperlink" Target="https://www.linkedin.com/learning/subtle-shifts-in-thinking-for-tremendous-resilience?trk=ondemandfile" TargetMode="External"/><Relationship Id="rId116" Type="http://schemas.openxmlformats.org/officeDocument/2006/relationships/hyperlink" Target="https://www.linkedin.com/learning/get-un-stuck-from-a-career-rut?trk=ondemandfile" TargetMode="External"/><Relationship Id="rId115" Type="http://schemas.openxmlformats.org/officeDocument/2006/relationships/hyperlink" Target="https://www.linkedin.com/learning/avoiding-burnout-2019?trk=ondemandfile" TargetMode="External"/><Relationship Id="rId599" Type="http://schemas.openxmlformats.org/officeDocument/2006/relationships/hyperlink" Target="https://www.linkedin.com/learning/email-marketing-strategy-and-optimization?trk=ondemandfile" TargetMode="External"/><Relationship Id="rId1180" Type="http://schemas.openxmlformats.org/officeDocument/2006/relationships/hyperlink" Target="https://www.linkedin.com/learning/paths/become-an-aws-data-and-devops-specialist?trk=ondemandfile" TargetMode="External"/><Relationship Id="rId1181" Type="http://schemas.openxmlformats.org/officeDocument/2006/relationships/hyperlink" Target="https://www.linkedin.com/learning/make-it-work-in-your-business?trk=ondemandfile" TargetMode="External"/><Relationship Id="rId119" Type="http://schemas.openxmlformats.org/officeDocument/2006/relationships/hyperlink" Target="https://www.linkedin.com/learning/creating-flow?trk=ondemandfile" TargetMode="External"/><Relationship Id="rId1182" Type="http://schemas.openxmlformats.org/officeDocument/2006/relationships/hyperlink" Target="https://www.linkedin.com/learning/paths/become-a-c-plus-plus-developer?trk=ondemandfile" TargetMode="External"/><Relationship Id="rId110" Type="http://schemas.openxmlformats.org/officeDocument/2006/relationships/hyperlink" Target="https://www.linkedin.com/learning/insights-on-working-from-home-s-largest-ever-experiment?trk=ondemandfile" TargetMode="External"/><Relationship Id="rId594" Type="http://schemas.openxmlformats.org/officeDocument/2006/relationships/hyperlink" Target="https://www.linkedin.com/learning/social-media-marketing-trends?trk=ondemandfile" TargetMode="External"/><Relationship Id="rId1183" Type="http://schemas.openxmlformats.org/officeDocument/2006/relationships/hyperlink" Target="https://www.linkedin.com/learning/implementing-your-it-strategy?trk=ondemandfile" TargetMode="External"/><Relationship Id="rId2030" Type="http://schemas.openxmlformats.org/officeDocument/2006/relationships/hyperlink" Target="https://www.linkedin.com/learning/business-innovation-foundations-2020?trk=ondemandfile" TargetMode="External"/><Relationship Id="rId593" Type="http://schemas.openxmlformats.org/officeDocument/2006/relationships/hyperlink" Target="https://www.linkedin.com/learning/linkedin-creator-posting-strategy?trk=ondemandfile" TargetMode="External"/><Relationship Id="rId1184" Type="http://schemas.openxmlformats.org/officeDocument/2006/relationships/hyperlink" Target="https://www.linkedin.com/learning/paths/become-a-cloud-administrator?trk=ondemandfile" TargetMode="External"/><Relationship Id="rId2031" Type="http://schemas.openxmlformats.org/officeDocument/2006/relationships/hyperlink" Target="https://www.linkedin.com/learning/business-analysis-foundations-strategy-analysis?trk=ondemandfile" TargetMode="External"/><Relationship Id="rId592" Type="http://schemas.openxmlformats.org/officeDocument/2006/relationships/hyperlink" Target="https://www.linkedin.com/learning/creating-linkedin-newsletters?trk=ondemandfile" TargetMode="External"/><Relationship Id="rId1185" Type="http://schemas.openxmlformats.org/officeDocument/2006/relationships/hyperlink" Target="https://www.linkedin.com/learning/creating-your-it-strategy?trk=ondemandfile" TargetMode="External"/><Relationship Id="rId2032" Type="http://schemas.openxmlformats.org/officeDocument/2006/relationships/hyperlink" Target="https://www.linkedin.com/learning/strategic-pricing-for-products-and-services?trk=ondemandfile" TargetMode="External"/><Relationship Id="rId591" Type="http://schemas.openxmlformats.org/officeDocument/2006/relationships/hyperlink" Target="https://www.linkedin.com/learning/artificial-intelligence-for-marketing?trk=ondemandfile" TargetMode="External"/><Relationship Id="rId1186" Type="http://schemas.openxmlformats.org/officeDocument/2006/relationships/hyperlink" Target="https://www.linkedin.com/learning/paths/become-an-excel-2013-microsoft-office-specialist?trk=ondemandfile" TargetMode="External"/><Relationship Id="rId2033" Type="http://schemas.openxmlformats.org/officeDocument/2006/relationships/hyperlink" Target="https://www.linkedin.com/learning/international-business-foundations?trk=ondemandfile" TargetMode="External"/><Relationship Id="rId114" Type="http://schemas.openxmlformats.org/officeDocument/2006/relationships/hyperlink" Target="https://www.linkedin.com/learning/managing-stress-2019?trk=ondemandfile" TargetMode="External"/><Relationship Id="rId598" Type="http://schemas.openxmlformats.org/officeDocument/2006/relationships/hyperlink" Target="https://www.linkedin.com/learning/content-marketing-roi?trk=ondemandfile" TargetMode="External"/><Relationship Id="rId1187" Type="http://schemas.openxmlformats.org/officeDocument/2006/relationships/hyperlink" Target="https://www.linkedin.com/learning/assessing-digital-maturity?trk=ondemandfile" TargetMode="External"/><Relationship Id="rId2034" Type="http://schemas.openxmlformats.org/officeDocument/2006/relationships/hyperlink" Target="https://www.linkedin.com/learning/introduction-to-abusive-ai?trk=ondemandfile" TargetMode="External"/><Relationship Id="rId113" Type="http://schemas.openxmlformats.org/officeDocument/2006/relationships/hyperlink" Target="https://www.linkedin.com/learning/developing-a-learning-mindset?trk=ondemandfile" TargetMode="External"/><Relationship Id="rId597" Type="http://schemas.openxmlformats.org/officeDocument/2006/relationships/hyperlink" Target="https://www.linkedin.com/learning/social-media-monitoring-strategies-and-skills?trk=ondemandfile" TargetMode="External"/><Relationship Id="rId1188" Type="http://schemas.openxmlformats.org/officeDocument/2006/relationships/hyperlink" Target="https://www.linkedin.com/learning/paths/become-a-filemaker-custom-app-developer?trk=ondemandfile" TargetMode="External"/><Relationship Id="rId2035" Type="http://schemas.openxmlformats.org/officeDocument/2006/relationships/hyperlink" Target="https://www.linkedin.com/learning/45-minute-business-plan?trk=ondemandfile" TargetMode="External"/><Relationship Id="rId112" Type="http://schemas.openxmlformats.org/officeDocument/2006/relationships/hyperlink" Target="https://www.linkedin.com/learning/negotiating-work-flexibility?trk=ondemandfile" TargetMode="External"/><Relationship Id="rId596" Type="http://schemas.openxmlformats.org/officeDocument/2006/relationships/hyperlink" Target="https://www.linkedin.com/learning/advertising-on-pinterest-2?trk=ondemandfile" TargetMode="External"/><Relationship Id="rId1189" Type="http://schemas.openxmlformats.org/officeDocument/2006/relationships/hyperlink" Target="https://www.linkedin.com/learning/artificial-intelligence-and-business-strategy?trk=ondemandfile" TargetMode="External"/><Relationship Id="rId2036" Type="http://schemas.openxmlformats.org/officeDocument/2006/relationships/hyperlink" Target="https://www.linkedin.com/learning/business-analysis-essential-tools-and-techniques?trk=ondemandfile" TargetMode="External"/><Relationship Id="rId111" Type="http://schemas.openxmlformats.org/officeDocument/2006/relationships/hyperlink" Target="https://www.linkedin.com/learning/how-to-slash-anxiety-and-keep-positivity-flowing?trk=ondemandfile" TargetMode="External"/><Relationship Id="rId595" Type="http://schemas.openxmlformats.org/officeDocument/2006/relationships/hyperlink" Target="https://www.linkedin.com/learning/b2b-marketing-foundations-positioning?trk=ondemandfile" TargetMode="External"/><Relationship Id="rId2037" Type="http://schemas.openxmlformats.org/officeDocument/2006/relationships/hyperlink" Target="https://www.linkedin.com/learning/developing-business-partnerships?trk=ondemandfile" TargetMode="External"/><Relationship Id="rId1136" Type="http://schemas.openxmlformats.org/officeDocument/2006/relationships/hyperlink" Target="https://www.linkedin.com/learning/introduction-to-the-phr-certification-exam?trk=ondemandfile" TargetMode="External"/><Relationship Id="rId2467" Type="http://schemas.openxmlformats.org/officeDocument/2006/relationships/hyperlink" Target="https://www.linkedin.com/learning/the-step-by-step-guide-to-reinventing-yourself?trk=ondemandfile" TargetMode="External"/><Relationship Id="rId1137" Type="http://schemas.openxmlformats.org/officeDocument/2006/relationships/hyperlink" Target="https://www.linkedin.com/learning/driving-workplace-happiness?trk=ondemandfile" TargetMode="External"/><Relationship Id="rId2468" Type="http://schemas.openxmlformats.org/officeDocument/2006/relationships/hyperlink" Target="https://www.linkedin.com/learning/mel-robbins-on-confidence?trk=ondemandfile" TargetMode="External"/><Relationship Id="rId1138" Type="http://schemas.openxmlformats.org/officeDocument/2006/relationships/hyperlink" Target="https://www.linkedin.com/learning/human-resources-payroll?trk=ondemandfile" TargetMode="External"/><Relationship Id="rId2469" Type="http://schemas.openxmlformats.org/officeDocument/2006/relationships/hyperlink" Target="https://www.linkedin.com/learning/the-miracle-morning-blinkist-summary?trk=ondemandfile" TargetMode="External"/><Relationship Id="rId1139" Type="http://schemas.openxmlformats.org/officeDocument/2006/relationships/hyperlink" Target="https://www.linkedin.com/learning/human-resources-using-metrics-to-drive-hr-strategy?trk=ondemandfile" TargetMode="External"/><Relationship Id="rId547" Type="http://schemas.openxmlformats.org/officeDocument/2006/relationships/hyperlink" Target="https://www.linkedin.com/learning/marketing-virtual-events?trk=ondemandfile" TargetMode="External"/><Relationship Id="rId546" Type="http://schemas.openxmlformats.org/officeDocument/2006/relationships/hyperlink" Target="https://www.linkedin.com/learning/learning-logo-design?trk=ondemandfile" TargetMode="External"/><Relationship Id="rId545" Type="http://schemas.openxmlformats.org/officeDocument/2006/relationships/hyperlink" Target="https://www.linkedin.com/learning/international-marketing-foundations?trk=ondemandfile" TargetMode="External"/><Relationship Id="rId544" Type="http://schemas.openxmlformats.org/officeDocument/2006/relationships/hyperlink" Target="https://www.linkedin.com/learning/marketing-on-twitter?trk=ondemandfile" TargetMode="External"/><Relationship Id="rId549" Type="http://schemas.openxmlformats.org/officeDocument/2006/relationships/hyperlink" Target="https://www.linkedin.com/learning/how-to-build-a-following-online?trk=ondemandfile" TargetMode="External"/><Relationship Id="rId548" Type="http://schemas.openxmlformats.org/officeDocument/2006/relationships/hyperlink" Target="https://www.linkedin.com/learning/the-22-immutable-laws-of-branding-blinkist-summary?trk=ondemandfile" TargetMode="External"/><Relationship Id="rId2460" Type="http://schemas.openxmlformats.org/officeDocument/2006/relationships/hyperlink" Target="https://www.linkedin.com/learning/beating-procrastination?trk=ondemandfile" TargetMode="External"/><Relationship Id="rId1130" Type="http://schemas.openxmlformats.org/officeDocument/2006/relationships/hyperlink" Target="https://www.linkedin.com/learning/fair-and-effective-interviewing-for-diversity-and-inclusion?trk=ondemandfile" TargetMode="External"/><Relationship Id="rId2461" Type="http://schemas.openxmlformats.org/officeDocument/2006/relationships/hyperlink" Target="https://www.linkedin.com/learning/enhance-productivity-in-a-hybrid-work-environment?trk=ondemandfile" TargetMode="External"/><Relationship Id="rId1131" Type="http://schemas.openxmlformats.org/officeDocument/2006/relationships/hyperlink" Target="https://www.linkedin.com/learning/hr-guidelines-everyone-should-know-2022?trk=ondemandfile" TargetMode="External"/><Relationship Id="rId2462" Type="http://schemas.openxmlformats.org/officeDocument/2006/relationships/hyperlink" Target="https://www.linkedin.com/learning/reframing-the-power-of-changing-your-perspective?trk=ondemandfile" TargetMode="External"/><Relationship Id="rId543" Type="http://schemas.openxmlformats.org/officeDocument/2006/relationships/hyperlink" Target="https://www.linkedin.com/learning/designing-an-authentic-brand?trk=ondemandfile" TargetMode="External"/><Relationship Id="rId1132" Type="http://schemas.openxmlformats.org/officeDocument/2006/relationships/hyperlink" Target="https://www.linkedin.com/learning/hiring-and-managing-ux-professionals?trk=ondemandfile" TargetMode="External"/><Relationship Id="rId2463" Type="http://schemas.openxmlformats.org/officeDocument/2006/relationships/hyperlink" Target="https://www.linkedin.com/learning/habits-to-win-every-day?trk=ondemandfile" TargetMode="External"/><Relationship Id="rId542" Type="http://schemas.openxmlformats.org/officeDocument/2006/relationships/hyperlink" Target="https://www.linkedin.com/learning/developing-a-youtube-strategy?trk=ondemandfile" TargetMode="External"/><Relationship Id="rId1133" Type="http://schemas.openxmlformats.org/officeDocument/2006/relationships/hyperlink" Target="https://www.linkedin.com/learning/understanding-organisations-and-the-role-of-hr?trk=ondemandfile" TargetMode="External"/><Relationship Id="rId2464" Type="http://schemas.openxmlformats.org/officeDocument/2006/relationships/hyperlink" Target="https://www.linkedin.com/learning/succeeding-as-an-lgbt-professional?trk=ondemandfile" TargetMode="External"/><Relationship Id="rId541" Type="http://schemas.openxmlformats.org/officeDocument/2006/relationships/hyperlink" Target="https://www.linkedin.com/learning/direct-mail-marketing?trk=ondemandfile" TargetMode="External"/><Relationship Id="rId1134" Type="http://schemas.openxmlformats.org/officeDocument/2006/relationships/hyperlink" Target="https://www.linkedin.com/learning/human-resources-creating-an-employee-handbook?trk=ondemandfile" TargetMode="External"/><Relationship Id="rId2465" Type="http://schemas.openxmlformats.org/officeDocument/2006/relationships/hyperlink" Target="https://www.linkedin.com/learning/how-to-have-a-great-day-at-work-with-caroline-webb?trk=ondemandfile" TargetMode="External"/><Relationship Id="rId540" Type="http://schemas.openxmlformats.org/officeDocument/2006/relationships/hyperlink" Target="https://www.linkedin.com/learning/marketing-on-facebook?trk=ondemandfile" TargetMode="External"/><Relationship Id="rId1135" Type="http://schemas.openxmlformats.org/officeDocument/2006/relationships/hyperlink" Target="https://www.linkedin.com/learning/human-resources-working-with-vendors-2?trk=ondemandfile" TargetMode="External"/><Relationship Id="rId2466" Type="http://schemas.openxmlformats.org/officeDocument/2006/relationships/hyperlink" Target="https://www.linkedin.com/learning/confidence-building-strategies-for-work-and-life?trk=ondemandfile" TargetMode="External"/><Relationship Id="rId1125" Type="http://schemas.openxmlformats.org/officeDocument/2006/relationships/hyperlink" Target="https://www.linkedin.com/learning/learning-linkedin-recruiter-2021?trk=ondemandfile" TargetMode="External"/><Relationship Id="rId2456" Type="http://schemas.openxmlformats.org/officeDocument/2006/relationships/hyperlink" Target="https://www.linkedin.com/learning/managing-your-energy-for-better-performance?trk=ondemandfile" TargetMode="External"/><Relationship Id="rId1126" Type="http://schemas.openxmlformats.org/officeDocument/2006/relationships/hyperlink" Target="https://www.linkedin.com/learning/demystifying-company-culture?trk=ondemandfile" TargetMode="External"/><Relationship Id="rId2457" Type="http://schemas.openxmlformats.org/officeDocument/2006/relationships/hyperlink" Target="https://www.linkedin.com/learning/managing-anxiety-in-the-workplace?trk=ondemandfile" TargetMode="External"/><Relationship Id="rId1127" Type="http://schemas.openxmlformats.org/officeDocument/2006/relationships/hyperlink" Target="https://www.linkedin.com/learning/business-benefits-realization-foundations?trk=ondemandfile" TargetMode="External"/><Relationship Id="rId2458" Type="http://schemas.openxmlformats.org/officeDocument/2006/relationships/hyperlink" Target="https://www.linkedin.com/learning/mindfulness-practices?trk=ondemandfile" TargetMode="External"/><Relationship Id="rId1128" Type="http://schemas.openxmlformats.org/officeDocument/2006/relationships/hyperlink" Target="https://www.linkedin.com/learning/preparing-for-the-shrm-cp-exam?trk=ondemandfile" TargetMode="External"/><Relationship Id="rId2459" Type="http://schemas.openxmlformats.org/officeDocument/2006/relationships/hyperlink" Target="https://www.linkedin.com/learning/how-to-create-a-life-of-meaning-and-purpose?trk=ondemandfile" TargetMode="External"/><Relationship Id="rId1129" Type="http://schemas.openxmlformats.org/officeDocument/2006/relationships/hyperlink" Target="https://www.linkedin.com/learning/getting-started-as-a-linkedin-learning-hub-admin?trk=ondemandfile" TargetMode="External"/><Relationship Id="rId536" Type="http://schemas.openxmlformats.org/officeDocument/2006/relationships/hyperlink" Target="https://www.linkedin.com/learning/affiliate-marketing-foundations?trk=ondemandfile" TargetMode="External"/><Relationship Id="rId535" Type="http://schemas.openxmlformats.org/officeDocument/2006/relationships/hyperlink" Target="https://www.linkedin.com/learning/creating-an-editorial-calendar-2?trk=ondemandfile" TargetMode="External"/><Relationship Id="rId534" Type="http://schemas.openxmlformats.org/officeDocument/2006/relationships/hyperlink" Target="https://www.linkedin.com/learning/business-analytics-marketing-data?trk=ondemandfile" TargetMode="External"/><Relationship Id="rId533" Type="http://schemas.openxmlformats.org/officeDocument/2006/relationships/hyperlink" Target="https://www.linkedin.com/learning/marketing-foundations-consumer-behavior?trk=ondemandfile" TargetMode="External"/><Relationship Id="rId539" Type="http://schemas.openxmlformats.org/officeDocument/2006/relationships/hyperlink" Target="https://www.linkedin.com/learning/marketing-customer-segmentation?trk=ondemandfile" TargetMode="External"/><Relationship Id="rId538" Type="http://schemas.openxmlformats.org/officeDocument/2006/relationships/hyperlink" Target="https://www.linkedin.com/learning/international-seo?trk=ondemandfile" TargetMode="External"/><Relationship Id="rId537" Type="http://schemas.openxmlformats.org/officeDocument/2006/relationships/hyperlink" Target="https://www.linkedin.com/learning/programmatic-advertising-foundations?trk=ondemandfile" TargetMode="External"/><Relationship Id="rId2450" Type="http://schemas.openxmlformats.org/officeDocument/2006/relationships/hyperlink" Target="https://www.linkedin.com/learning/the-five-thieves-of-happiness-getabstract-summary?trk=ondemandfile" TargetMode="External"/><Relationship Id="rId1120" Type="http://schemas.openxmlformats.org/officeDocument/2006/relationships/hyperlink" Target="https://www.linkedin.com/learning/empathy-tips-for-hr-professionals?trk=ondemandfile" TargetMode="External"/><Relationship Id="rId2451" Type="http://schemas.openxmlformats.org/officeDocument/2006/relationships/hyperlink" Target="https://www.linkedin.com/learning/balancing-work-and-life-as-a-work-from-home-parent?trk=ondemandfile" TargetMode="External"/><Relationship Id="rId532" Type="http://schemas.openxmlformats.org/officeDocument/2006/relationships/hyperlink" Target="https://www.linkedin.com/learning/building-a-winning-enterprise-marketing-strategy?trk=ondemandfile" TargetMode="External"/><Relationship Id="rId1121" Type="http://schemas.openxmlformats.org/officeDocument/2006/relationships/hyperlink" Target="https://www.linkedin.com/learning/creating-a-culture-of-learning-2?trk=ondemandfile" TargetMode="External"/><Relationship Id="rId2452" Type="http://schemas.openxmlformats.org/officeDocument/2006/relationships/hyperlink" Target="https://www.linkedin.com/learning/essentials-of-mindfulness-and-compassion-with-scott-shute?trk=ondemandfile" TargetMode="External"/><Relationship Id="rId531" Type="http://schemas.openxmlformats.org/officeDocument/2006/relationships/hyperlink" Target="https://www.linkedin.com/learning/marketing-analytics-setting-and-measuring-kpis-2?trk=ondemandfile" TargetMode="External"/><Relationship Id="rId1122" Type="http://schemas.openxmlformats.org/officeDocument/2006/relationships/hyperlink" Target="https://www.linkedin.com/learning/inclusion-during-difficult-times?trk=ondemandfile" TargetMode="External"/><Relationship Id="rId2453" Type="http://schemas.openxmlformats.org/officeDocument/2006/relationships/hyperlink" Target="https://www.linkedin.com/learning/how-to-manage-feeling-overwhelmed?trk=ondemandfile" TargetMode="External"/><Relationship Id="rId530" Type="http://schemas.openxmlformats.org/officeDocument/2006/relationships/hyperlink" Target="https://www.linkedin.com/learning/small-business-marketing?trk=ondemandfile" TargetMode="External"/><Relationship Id="rId1123" Type="http://schemas.openxmlformats.org/officeDocument/2006/relationships/hyperlink" Target="https://www.linkedin.com/learning/recruiting-external-recruiters?trk=ondemandfile" TargetMode="External"/><Relationship Id="rId2454" Type="http://schemas.openxmlformats.org/officeDocument/2006/relationships/hyperlink" Target="https://www.linkedin.com/learning/confronting-bias-thriving-across-our-differences?trk=ondemandfile" TargetMode="External"/><Relationship Id="rId1124" Type="http://schemas.openxmlformats.org/officeDocument/2006/relationships/hyperlink" Target="https://www.linkedin.com/learning/recruiting-foundations-2019?trk=ondemandfile" TargetMode="External"/><Relationship Id="rId2455" Type="http://schemas.openxmlformats.org/officeDocument/2006/relationships/hyperlink" Target="https://www.linkedin.com/learning/managing-depression-in-the-workplace?trk=ondemandfile" TargetMode="External"/><Relationship Id="rId1158" Type="http://schemas.openxmlformats.org/officeDocument/2006/relationships/hyperlink" Target="https://www.linkedin.com/learning/privacy-in-the-age-of-covid?trk=ondemandfile" TargetMode="External"/><Relationship Id="rId2005" Type="http://schemas.openxmlformats.org/officeDocument/2006/relationships/hyperlink" Target="https://www.linkedin.com/learning/strategic-focus-for-managers?trk=ondemandfile" TargetMode="External"/><Relationship Id="rId2489" Type="http://schemas.openxmlformats.org/officeDocument/2006/relationships/hyperlink" Target="https://www.linkedin.com/learning/inclusive-leadership?trk=ondemandfile" TargetMode="External"/><Relationship Id="rId1159" Type="http://schemas.openxmlformats.org/officeDocument/2006/relationships/hyperlink" Target="https://www.linkedin.com/learning/bystander-training-from-bystander-to-upstander?trk=ondemandfile" TargetMode="External"/><Relationship Id="rId2006" Type="http://schemas.openxmlformats.org/officeDocument/2006/relationships/hyperlink" Target="https://www.linkedin.com/learning/blue-ocean-shift?trk=ondemandfile" TargetMode="External"/><Relationship Id="rId2007" Type="http://schemas.openxmlformats.org/officeDocument/2006/relationships/hyperlink" Target="https://www.linkedin.com/learning/agile-negotiation?trk=ondemandfile" TargetMode="External"/><Relationship Id="rId2008" Type="http://schemas.openxmlformats.org/officeDocument/2006/relationships/hyperlink" Target="https://www.linkedin.com/learning/business-leadership-social-change-and-movements?trk=ondemandfile" TargetMode="External"/><Relationship Id="rId2009" Type="http://schemas.openxmlformats.org/officeDocument/2006/relationships/hyperlink" Target="https://www.linkedin.com/learning/planning-for-the-remote-first-work-from-anywhere-asynchronous-organization?trk=ondemandfile" TargetMode="External"/><Relationship Id="rId569" Type="http://schemas.openxmlformats.org/officeDocument/2006/relationships/hyperlink" Target="https://www.linkedin.com/learning/social-media-marketing-strategy-tiktok-and-instagram-reels?trk=contentmappingfile" TargetMode="External"/><Relationship Id="rId568" Type="http://schemas.openxmlformats.org/officeDocument/2006/relationships/hyperlink" Target="https://www.linkedin.com/learning/the-habits-of-successful-marketers?trk=contentmappingfile" TargetMode="External"/><Relationship Id="rId567" Type="http://schemas.openxmlformats.org/officeDocument/2006/relationships/hyperlink" Target="https://www.linkedin.com/learning/marketing-foundations-ecommerce-14401600?trk=contentmappingfile" TargetMode="External"/><Relationship Id="rId566" Type="http://schemas.openxmlformats.org/officeDocument/2006/relationships/hyperlink" Target="https://www.linkedin.com/learning/content-marketing-online-reviews-in-social-media?trk=contentmappingfile" TargetMode="External"/><Relationship Id="rId2480" Type="http://schemas.openxmlformats.org/officeDocument/2006/relationships/hyperlink" Target="https://www.linkedin.com/learning/paths/become-an-inclusive-leader?trk=ondemandfile" TargetMode="External"/><Relationship Id="rId561" Type="http://schemas.openxmlformats.org/officeDocument/2006/relationships/hyperlink" Target="https://www.linkedin.com/learning/making-money-with-branded-content?trk=ondemandfile" TargetMode="External"/><Relationship Id="rId1150" Type="http://schemas.openxmlformats.org/officeDocument/2006/relationships/hyperlink" Target="https://www.linkedin.com/learning/leadership-mindsets?trk=ondemandfile" TargetMode="External"/><Relationship Id="rId2481" Type="http://schemas.openxmlformats.org/officeDocument/2006/relationships/hyperlink" Target="https://www.linkedin.com/learning/leading-with-innovation?trk=ondemandfile" TargetMode="External"/><Relationship Id="rId560" Type="http://schemas.openxmlformats.org/officeDocument/2006/relationships/hyperlink" Target="https://www.linkedin.com/learning/building-an-audience-on-instagram?trk=ondemandfile" TargetMode="External"/><Relationship Id="rId1151" Type="http://schemas.openxmlformats.org/officeDocument/2006/relationships/hyperlink" Target="https://www.linkedin.com/learning/running-a-design-business-the-staffing-rule-book?trk=ondemandfile" TargetMode="External"/><Relationship Id="rId2482" Type="http://schemas.openxmlformats.org/officeDocument/2006/relationships/hyperlink" Target="https://www.linkedin.com/learning/paths/digital-transformation-for-tech-leaders?trk=ondemandfile" TargetMode="External"/><Relationship Id="rId1152" Type="http://schemas.openxmlformats.org/officeDocument/2006/relationships/hyperlink" Target="https://www.linkedin.com/learning/human-resources-leadership-and-strategic-impact?trk=ondemandfile" TargetMode="External"/><Relationship Id="rId2483" Type="http://schemas.openxmlformats.org/officeDocument/2006/relationships/hyperlink" Target="https://www.linkedin.com/learning/ryan-holmes-on-social-leadership?trk=ondemandfile" TargetMode="External"/><Relationship Id="rId1153" Type="http://schemas.openxmlformats.org/officeDocument/2006/relationships/hyperlink" Target="https://www.linkedin.com/learning/human-resources-selecting-an-hr-system?trk=ondemandfile" TargetMode="External"/><Relationship Id="rId2000" Type="http://schemas.openxmlformats.org/officeDocument/2006/relationships/hyperlink" Target="https://www.linkedin.com/learning/strategic-planning-foundations?trk=ondemandfile" TargetMode="External"/><Relationship Id="rId2484" Type="http://schemas.openxmlformats.org/officeDocument/2006/relationships/hyperlink" Target="https://www.linkedin.com/learning/paths/diversity-inclusion-and-belonging-for-leaders-and-managers?trk=ondemandfile" TargetMode="External"/><Relationship Id="rId565" Type="http://schemas.openxmlformats.org/officeDocument/2006/relationships/hyperlink" Target="https://www.linkedin.com/learning/advertising-on-facebook-14321583?trk=ondemandfile" TargetMode="External"/><Relationship Id="rId1154" Type="http://schemas.openxmlformats.org/officeDocument/2006/relationships/hyperlink" Target="https://www.linkedin.com/learning/human-resources-strategic-workforce-planning?trk=ondemandfile" TargetMode="External"/><Relationship Id="rId2001" Type="http://schemas.openxmlformats.org/officeDocument/2006/relationships/hyperlink" Target="https://www.linkedin.com/learning/leading-from-the-middle?trk=ondemandfile" TargetMode="External"/><Relationship Id="rId2485" Type="http://schemas.openxmlformats.org/officeDocument/2006/relationships/hyperlink" Target="https://www.linkedin.com/learning/leadership-stories-5-minute-lessons-in-leading-people?trk=ondemandfile" TargetMode="External"/><Relationship Id="rId564" Type="http://schemas.openxmlformats.org/officeDocument/2006/relationships/hyperlink" Target="https://www.linkedin.com/learning/introduction-to-linkedin-creator-mode?trk=ondemandfile" TargetMode="External"/><Relationship Id="rId1155" Type="http://schemas.openxmlformats.org/officeDocument/2006/relationships/hyperlink" Target="https://www.linkedin.com/learning/people-analytics?trk=ondemandfile" TargetMode="External"/><Relationship Id="rId2002" Type="http://schemas.openxmlformats.org/officeDocument/2006/relationships/hyperlink" Target="https://www.linkedin.com/learning/strategic-planning-case-studies?trk=ondemandfile" TargetMode="External"/><Relationship Id="rId2486" Type="http://schemas.openxmlformats.org/officeDocument/2006/relationships/hyperlink" Target="https://www.linkedin.com/learning/paths/fostering-innovation?trk=ondemandfile" TargetMode="External"/><Relationship Id="rId563" Type="http://schemas.openxmlformats.org/officeDocument/2006/relationships/hyperlink" Target="https://www.linkedin.com/learning/diversity-and-inclusion-in-marketing-inclusive-language-for-marketers?trk=ondemandfile" TargetMode="External"/><Relationship Id="rId1156" Type="http://schemas.openxmlformats.org/officeDocument/2006/relationships/hyperlink" Target="https://www.linkedin.com/learning/using-neuroscience-for-more-effective-l-d?trk=ondemandfile" TargetMode="External"/><Relationship Id="rId2003" Type="http://schemas.openxmlformats.org/officeDocument/2006/relationships/hyperlink" Target="https://www.linkedin.com/learning/balancing-innovation-and-risk?trk=ondemandfile" TargetMode="External"/><Relationship Id="rId2487" Type="http://schemas.openxmlformats.org/officeDocument/2006/relationships/hyperlink" Target="https://www.linkedin.com/learning/leading-organizations-ten-timeless-truths-getabstract-summary?trk=ondemandfile" TargetMode="External"/><Relationship Id="rId562" Type="http://schemas.openxmlformats.org/officeDocument/2006/relationships/hyperlink" Target="https://www.linkedin.com/learning/marketing-foundations-analytics?trk=ondemandfile" TargetMode="External"/><Relationship Id="rId1157" Type="http://schemas.openxmlformats.org/officeDocument/2006/relationships/hyperlink" Target="https://www.linkedin.com/learning/human-resources-pay-strategy-2?trk=ondemandfile" TargetMode="External"/><Relationship Id="rId2004" Type="http://schemas.openxmlformats.org/officeDocument/2006/relationships/hyperlink" Target="https://www.linkedin.com/learning/scaling-up-excellence?trk=ondemandfile" TargetMode="External"/><Relationship Id="rId2488" Type="http://schemas.openxmlformats.org/officeDocument/2006/relationships/hyperlink" Target="https://www.linkedin.com/learning/paths/leading-others-effectively?trk=ondemandfile" TargetMode="External"/><Relationship Id="rId1147" Type="http://schemas.openxmlformats.org/officeDocument/2006/relationships/hyperlink" Target="https://www.linkedin.com/learning/rolling-out-a-dibs-training-program-in-your-company?trk=ondemandfile" TargetMode="External"/><Relationship Id="rId2478" Type="http://schemas.openxmlformats.org/officeDocument/2006/relationships/hyperlink" Target="https://www.linkedin.com/learning/paths/become-a-thought-leader?trk=ondemandfile" TargetMode="External"/><Relationship Id="rId1148" Type="http://schemas.openxmlformats.org/officeDocument/2006/relationships/hyperlink" Target="https://www.linkedin.com/learning/managing-misconduct-in-the-workplace?trk=ondemandfile" TargetMode="External"/><Relationship Id="rId2479" Type="http://schemas.openxmlformats.org/officeDocument/2006/relationships/hyperlink" Target="https://www.linkedin.com/learning/leading-globally?trk=ondemandfile" TargetMode="External"/><Relationship Id="rId1149" Type="http://schemas.openxmlformats.org/officeDocument/2006/relationships/hyperlink" Target="https://www.linkedin.com/learning/converting-face-to-face-training-into-digital-learning?trk=ondemandfile" TargetMode="External"/><Relationship Id="rId558" Type="http://schemas.openxmlformats.org/officeDocument/2006/relationships/hyperlink" Target="https://www.linkedin.com/learning/marketing-tools-automation-14268255?trk=ondemandfile" TargetMode="External"/><Relationship Id="rId557" Type="http://schemas.openxmlformats.org/officeDocument/2006/relationships/hyperlink" Target="https://www.linkedin.com/learning/advertising-on-instagram-14314447?trk=ondemandfile" TargetMode="External"/><Relationship Id="rId556" Type="http://schemas.openxmlformats.org/officeDocument/2006/relationships/hyperlink" Target="https://www.linkedin.com/learning/building-and-engaging-with-your-online-following-for-creators?trk=ondemandfile" TargetMode="External"/><Relationship Id="rId555" Type="http://schemas.openxmlformats.org/officeDocument/2006/relationships/hyperlink" Target="https://www.linkedin.com/learning/getting-started-with-facebook-shop-for-creators?trk=ondemandfile" TargetMode="External"/><Relationship Id="rId559" Type="http://schemas.openxmlformats.org/officeDocument/2006/relationships/hyperlink" Target="https://www.linkedin.com/learning/jump-start-your-twitch-channel?trk=ondemandfile" TargetMode="External"/><Relationship Id="rId550" Type="http://schemas.openxmlformats.org/officeDocument/2006/relationships/hyperlink" Target="https://www.linkedin.com/learning/marketing-tools-social-media-13951096?trk=ondemandfile" TargetMode="External"/><Relationship Id="rId2470" Type="http://schemas.openxmlformats.org/officeDocument/2006/relationships/hyperlink" Target="https://www.linkedin.com/learning/the-power-of-habit-blinkist-summary?trk=ondemandfile" TargetMode="External"/><Relationship Id="rId1140" Type="http://schemas.openxmlformats.org/officeDocument/2006/relationships/hyperlink" Target="https://www.linkedin.com/learning/performance-based-hiring?trk=ondemandfile" TargetMode="External"/><Relationship Id="rId2471" Type="http://schemas.openxmlformats.org/officeDocument/2006/relationships/hyperlink" Target="https://www.linkedin.com/learning/leading-change-2018?trk=ondemandfile" TargetMode="External"/><Relationship Id="rId1141" Type="http://schemas.openxmlformats.org/officeDocument/2006/relationships/hyperlink" Target="https://www.linkedin.com/learning/strategic-human-resources?trk=ondemandfile" TargetMode="External"/><Relationship Id="rId2472" Type="http://schemas.openxmlformats.org/officeDocument/2006/relationships/hyperlink" Target="https://www.linkedin.com/learning/paths/become-a-leader?trk=ondemandfile" TargetMode="External"/><Relationship Id="rId1142" Type="http://schemas.openxmlformats.org/officeDocument/2006/relationships/hyperlink" Target="https://www.linkedin.com/learning/interviewing-t-echniques-2019?trk=ondemandfile" TargetMode="External"/><Relationship Id="rId2473" Type="http://schemas.openxmlformats.org/officeDocument/2006/relationships/hyperlink" Target="https://www.linkedin.com/learning/counterintuitive-leadership-strategies-for-a-vuca-environment?trk=ondemandfile" TargetMode="External"/><Relationship Id="rId554" Type="http://schemas.openxmlformats.org/officeDocument/2006/relationships/hyperlink" Target="https://www.linkedin.com/learning/marketing-messaging-with-purpose?trk=ondemandfile" TargetMode="External"/><Relationship Id="rId1143" Type="http://schemas.openxmlformats.org/officeDocument/2006/relationships/hyperlink" Target="https://www.linkedin.com/learning/practical-success-metrics-in-your-training-program?trk=ondemandfile" TargetMode="External"/><Relationship Id="rId2474" Type="http://schemas.openxmlformats.org/officeDocument/2006/relationships/hyperlink" Target="https://www.linkedin.com/learning/paths/become-a-leader-people-love?trk=ondemandfile" TargetMode="External"/><Relationship Id="rId553" Type="http://schemas.openxmlformats.org/officeDocument/2006/relationships/hyperlink" Target="https://www.linkedin.com/learning/jump-start-your-linkedin-live-channel?trk=ondemandfile" TargetMode="External"/><Relationship Id="rId1144" Type="http://schemas.openxmlformats.org/officeDocument/2006/relationships/hyperlink" Target="https://www.linkedin.com/learning/diversity-recruiting-2?trk=ondemandfile" TargetMode="External"/><Relationship Id="rId2475" Type="http://schemas.openxmlformats.org/officeDocument/2006/relationships/hyperlink" Target="https://www.linkedin.com/learning/vision-in-action-leaders-live-case-studies?trk=ondemandfile" TargetMode="External"/><Relationship Id="rId552" Type="http://schemas.openxmlformats.org/officeDocument/2006/relationships/hyperlink" Target="https://www.linkedin.com/learning/learning-instagram-2021?trk=ondemandfile" TargetMode="External"/><Relationship Id="rId1145" Type="http://schemas.openxmlformats.org/officeDocument/2006/relationships/hyperlink" Target="https://www.linkedin.com/learning/interviewing-a-job-candidate-for-recruiters-2?trk=ondemandfile" TargetMode="External"/><Relationship Id="rId2476" Type="http://schemas.openxmlformats.org/officeDocument/2006/relationships/hyperlink" Target="https://www.linkedin.com/learning/paths/become-a-manager?trk=ondemandfile" TargetMode="External"/><Relationship Id="rId551" Type="http://schemas.openxmlformats.org/officeDocument/2006/relationships/hyperlink" Target="https://www.linkedin.com/learning/learning-local-seo?trk=ondemandfile" TargetMode="External"/><Relationship Id="rId1146" Type="http://schemas.openxmlformats.org/officeDocument/2006/relationships/hyperlink" Target="https://www.linkedin.com/learning/setting-and-managing-realistic-expectations-for-your-l-d-program?trk=ondemandfile" TargetMode="External"/><Relationship Id="rId2477" Type="http://schemas.openxmlformats.org/officeDocument/2006/relationships/hyperlink" Target="https://www.linkedin.com/learning/leading-the-organization-monthly?trk=ondemandfile" TargetMode="External"/><Relationship Id="rId2090" Type="http://schemas.openxmlformats.org/officeDocument/2006/relationships/hyperlink" Target="https://www.linkedin.com/learning/delivering-employee-feedback-2019?trk=ondemandfile" TargetMode="External"/><Relationship Id="rId2091" Type="http://schemas.openxmlformats.org/officeDocument/2006/relationships/hyperlink" Target="https://www.linkedin.com/learning/coaching-new-hires?trk=ondemandfile" TargetMode="External"/><Relationship Id="rId2092" Type="http://schemas.openxmlformats.org/officeDocument/2006/relationships/hyperlink" Target="https://www.linkedin.com/learning/delegating-tasks?trk=ondemandfile" TargetMode="External"/><Relationship Id="rId2093" Type="http://schemas.openxmlformats.org/officeDocument/2006/relationships/hyperlink" Target="https://www.linkedin.com/learning/building-high-performance-teams?trk=ondemandfile" TargetMode="External"/><Relationship Id="rId2094" Type="http://schemas.openxmlformats.org/officeDocument/2006/relationships/hyperlink" Target="https://www.linkedin.com/learning/coaching-for-results?trk=ondemandfile" TargetMode="External"/><Relationship Id="rId2095" Type="http://schemas.openxmlformats.org/officeDocument/2006/relationships/hyperlink" Target="https://www.linkedin.com/learning/coaching-employees-through-difficult-situations?trk=ondemandfile" TargetMode="External"/><Relationship Id="rId2096" Type="http://schemas.openxmlformats.org/officeDocument/2006/relationships/hyperlink" Target="https://www.linkedin.com/learning/coaching-skills-for-leaders-and-managers?trk=ondemandfile" TargetMode="External"/><Relationship Id="rId2097" Type="http://schemas.openxmlformats.org/officeDocument/2006/relationships/hyperlink" Target="https://www.linkedin.com/learning/developing-leaders-on-your-team?trk=ondemandfile" TargetMode="External"/><Relationship Id="rId2098" Type="http://schemas.openxmlformats.org/officeDocument/2006/relationships/hyperlink" Target="https://www.linkedin.com/learning/managing-employee-performance-problems-2018?trk=ondemandfile" TargetMode="External"/><Relationship Id="rId2099" Type="http://schemas.openxmlformats.org/officeDocument/2006/relationships/hyperlink" Target="https://www.linkedin.com/learning/persuasive-coaching?trk=ondemandfile" TargetMode="External"/><Relationship Id="rId2060" Type="http://schemas.openxmlformats.org/officeDocument/2006/relationships/hyperlink" Target="https://www.linkedin.com/learning/paths/become-an-administrative-professional?trk=ondemandfile" TargetMode="External"/><Relationship Id="rId2061" Type="http://schemas.openxmlformats.org/officeDocument/2006/relationships/hyperlink" Target="https://www.linkedin.com/learning/good-to-great?trk=ondemandfile" TargetMode="External"/><Relationship Id="rId2062" Type="http://schemas.openxmlformats.org/officeDocument/2006/relationships/hyperlink" Target="https://www.linkedin.com/learning/paths/become-an-ld-professional?trk=ondemandfile" TargetMode="External"/><Relationship Id="rId2063" Type="http://schemas.openxmlformats.org/officeDocument/2006/relationships/hyperlink" Target="https://www.linkedin.com/learning/succession-planning?trk=ondemandfile" TargetMode="External"/><Relationship Id="rId2064" Type="http://schemas.openxmlformats.org/officeDocument/2006/relationships/hyperlink" Target="https://www.linkedin.com/learning/paths/become-a-senior-manager?trk=ondemandfile" TargetMode="External"/><Relationship Id="rId2065" Type="http://schemas.openxmlformats.org/officeDocument/2006/relationships/hyperlink" Target="https://www.linkedin.com/learning/employee-engagement?trk=ondemandfile" TargetMode="External"/><Relationship Id="rId2066" Type="http://schemas.openxmlformats.org/officeDocument/2006/relationships/hyperlink" Target="https://www.linkedin.com/learning/paths/develop-motivate-and-retain-employees?trk=ondemandfile" TargetMode="External"/><Relationship Id="rId2067" Type="http://schemas.openxmlformats.org/officeDocument/2006/relationships/hyperlink" Target="https://www.linkedin.com/learning/creating-a-positive-and-healthy-work-environment?trk=ondemandfile" TargetMode="External"/><Relationship Id="rId2068" Type="http://schemas.openxmlformats.org/officeDocument/2006/relationships/hyperlink" Target="https://www.linkedin.com/learning/paths/diversity-inclusion-and-belonging-for-leaders-and-managers?trk=ondemandfile" TargetMode="External"/><Relationship Id="rId2069" Type="http://schemas.openxmlformats.org/officeDocument/2006/relationships/hyperlink" Target="https://www.linkedin.com/learning/talent-management?trk=ondemandfile" TargetMode="External"/><Relationship Id="rId2050" Type="http://schemas.openxmlformats.org/officeDocument/2006/relationships/hyperlink" Target="https://www.linkedin.com/learning/create-a-go-to-market-plan-2?trk=ondemandfile" TargetMode="External"/><Relationship Id="rId2051" Type="http://schemas.openxmlformats.org/officeDocument/2006/relationships/hyperlink" Target="https://www.linkedin.com/learning/strategic-human-resources?trk=ondemandfile" TargetMode="External"/><Relationship Id="rId495" Type="http://schemas.openxmlformats.org/officeDocument/2006/relationships/hyperlink" Target="https://www.linkedin.com/learning/advanced-product-marketing?trk=ondemandfile" TargetMode="External"/><Relationship Id="rId2052" Type="http://schemas.openxmlformats.org/officeDocument/2006/relationships/hyperlink" Target="https://www.linkedin.com/learning/communicating-an-enterprise-wide-transformation?trk=ondemandfile" TargetMode="External"/><Relationship Id="rId494" Type="http://schemas.openxmlformats.org/officeDocument/2006/relationships/hyperlink" Target="https://www.linkedin.com/learning/advanced-seo-search-factors-2?trk=ondemandfile" TargetMode="External"/><Relationship Id="rId2053" Type="http://schemas.openxmlformats.org/officeDocument/2006/relationships/hyperlink" Target="https://www.linkedin.com/learning/azure-for-architects-design-a-migration-strategy?trk=ondemandfile" TargetMode="External"/><Relationship Id="rId493" Type="http://schemas.openxmlformats.org/officeDocument/2006/relationships/hyperlink" Target="https://www.linkedin.com/learning/paths/master-digital-marketing?trk=ondemandfile" TargetMode="External"/><Relationship Id="rId2054" Type="http://schemas.openxmlformats.org/officeDocument/2006/relationships/hyperlink" Target="https://www.linkedin.com/learning/ethical-hacking-cryptography?trk=ondemandfile" TargetMode="External"/><Relationship Id="rId492" Type="http://schemas.openxmlformats.org/officeDocument/2006/relationships/hyperlink" Target="https://www.linkedin.com/learning/building-an-integrated-online-marketing-plan?trk=ondemandfile" TargetMode="External"/><Relationship Id="rId2055" Type="http://schemas.openxmlformats.org/officeDocument/2006/relationships/hyperlink" Target="https://www.linkedin.com/learning/azure-for-architects-design-a-business-continuity-strategy-2?trk=ondemandfile" TargetMode="External"/><Relationship Id="rId499" Type="http://schemas.openxmlformats.org/officeDocument/2006/relationships/hyperlink" Target="https://www.linkedin.com/learning/advanced-content-marketing?trk=ondemandfile" TargetMode="External"/><Relationship Id="rId2056" Type="http://schemas.openxmlformats.org/officeDocument/2006/relationships/hyperlink" Target="https://www.linkedin.com/learning/cybersecurity-foundations-2?trk=ondemandfile" TargetMode="External"/><Relationship Id="rId498" Type="http://schemas.openxmlformats.org/officeDocument/2006/relationships/hyperlink" Target="https://www.linkedin.com/learning/advertising-on-fac-ebook-advanced-2020?trk=ondemandfile" TargetMode="External"/><Relationship Id="rId2057" Type="http://schemas.openxmlformats.org/officeDocument/2006/relationships/hyperlink" Target="https://www.linkedin.com/learning/the-future-of-work-the-necessary-skills-of-your-future-workforce?trk=contentmappingfile" TargetMode="External"/><Relationship Id="rId497" Type="http://schemas.openxmlformats.org/officeDocument/2006/relationships/hyperlink" Target="https://www.linkedin.com/learning/advanced-google-analytics-4?trk=ondemandfile" TargetMode="External"/><Relationship Id="rId2058" Type="http://schemas.openxmlformats.org/officeDocument/2006/relationships/hyperlink" Target="https://www.linkedin.com/learning/paths/advance-your-skills-as-a-manager?trk=ondemandfile" TargetMode="External"/><Relationship Id="rId496" Type="http://schemas.openxmlformats.org/officeDocument/2006/relationships/hyperlink" Target="https://www.linkedin.com/learning/advanced-lead-generation-2019?trk=ondemandfile" TargetMode="External"/><Relationship Id="rId2059" Type="http://schemas.openxmlformats.org/officeDocument/2006/relationships/hyperlink" Target="https://www.linkedin.com/learning/built-to-last-successful-habits-of-visionary-companies?trk=ondemandfile" TargetMode="External"/><Relationship Id="rId2080" Type="http://schemas.openxmlformats.org/officeDocument/2006/relationships/hyperlink" Target="https://www.linkedin.com/learning/360-degree-feedback?trk=ondemandfile" TargetMode="External"/><Relationship Id="rId2081" Type="http://schemas.openxmlformats.org/officeDocument/2006/relationships/hyperlink" Target="https://www.linkedin.com/learning/working-with-an-executive-coach?trk=ondemandfile" TargetMode="External"/><Relationship Id="rId2082" Type="http://schemas.openxmlformats.org/officeDocument/2006/relationships/hyperlink" Target="https://www.linkedin.com/learning/becoming-a-thought-leader-2?trk=ondemandfile" TargetMode="External"/><Relationship Id="rId2083" Type="http://schemas.openxmlformats.org/officeDocument/2006/relationships/hyperlink" Target="https://www.linkedin.com/learning/coaching-new-managers?trk=ondemandfile" TargetMode="External"/><Relationship Id="rId2084" Type="http://schemas.openxmlformats.org/officeDocument/2006/relationships/hyperlink" Target="https://www.linkedin.com/learning/build-your-team?trk=ondemandfile" TargetMode="External"/><Relationship Id="rId2085" Type="http://schemas.openxmlformats.org/officeDocument/2006/relationships/hyperlink" Target="https://www.linkedin.com/learning/how-to-set-team-and-employee-goals?trk=ondemandfile" TargetMode="External"/><Relationship Id="rId2086" Type="http://schemas.openxmlformats.org/officeDocument/2006/relationships/hyperlink" Target="https://www.linkedin.com/learning/virtual-performance-reviews-and-feedback?trk=ondemandfile" TargetMode="External"/><Relationship Id="rId2087" Type="http://schemas.openxmlformats.org/officeDocument/2006/relationships/hyperlink" Target="https://www.linkedin.com/learning/lean-technology-strategy-building-high-performing-teams?trk=ondemandfile" TargetMode="External"/><Relationship Id="rId2088" Type="http://schemas.openxmlformats.org/officeDocument/2006/relationships/hyperlink" Target="https://www.linkedin.com/learning/motivating-and-engaging-employees-2?trk=ondemandfile" TargetMode="External"/><Relationship Id="rId2089" Type="http://schemas.openxmlformats.org/officeDocument/2006/relationships/hyperlink" Target="https://www.linkedin.com/learning/coaching-and-developing-employees-2019?trk=ondemandfile" TargetMode="External"/><Relationship Id="rId2070" Type="http://schemas.openxmlformats.org/officeDocument/2006/relationships/hyperlink" Target="https://www.linkedin.com/learning/paths/finding-and-retaining-talent?trk=ondemandfile" TargetMode="External"/><Relationship Id="rId2071" Type="http://schemas.openxmlformats.org/officeDocument/2006/relationships/hyperlink" Target="https://www.linkedin.com/learning/goal-setting-objectives-and-key-results-okrs?trk=ondemandfile" TargetMode="External"/><Relationship Id="rId2072" Type="http://schemas.openxmlformats.org/officeDocument/2006/relationships/hyperlink" Target="https://www.linkedin.com/learning/paths/improve-your-coaching-skills-as-a-manager?trk=ondemandfile" TargetMode="External"/><Relationship Id="rId2073" Type="http://schemas.openxmlformats.org/officeDocument/2006/relationships/hyperlink" Target="https://www.linkedin.com/learning/rewarding-employee-performance?trk=ondemandfile" TargetMode="External"/><Relationship Id="rId2074" Type="http://schemas.openxmlformats.org/officeDocument/2006/relationships/hyperlink" Target="https://www.linkedin.com/learning/ram-charan-on-coaching-high-potentials?trk=ondemandfile" TargetMode="External"/><Relationship Id="rId2075" Type="http://schemas.openxmlformats.org/officeDocument/2006/relationships/hyperlink" Target="https://www.linkedin.com/learning/the-purpose-effect-getabstract-summary?trk=ondemandfile" TargetMode="External"/><Relationship Id="rId2076" Type="http://schemas.openxmlformats.org/officeDocument/2006/relationships/hyperlink" Target="https://www.linkedin.com/learning/creating-the-conditions-for-others-to-thrive?trk=ondemandfile" TargetMode="External"/><Relationship Id="rId2077" Type="http://schemas.openxmlformats.org/officeDocument/2006/relationships/hyperlink" Target="https://www.linkedin.com/learning/employee-experience?trk=ondemandfile" TargetMode="External"/><Relationship Id="rId2078" Type="http://schemas.openxmlformats.org/officeDocument/2006/relationships/hyperlink" Target="https://www.linkedin.com/learning/managing-multiple-generations-2?trk=ondemandfile" TargetMode="External"/><Relationship Id="rId2079" Type="http://schemas.openxmlformats.org/officeDocument/2006/relationships/hyperlink" Target="https://www.linkedin.com/learning/human-centered-leadership?trk=ondemandfile" TargetMode="External"/><Relationship Id="rId1610" Type="http://schemas.openxmlformats.org/officeDocument/2006/relationships/hyperlink" Target="https://www.linkedin.com/learning/lean-technology-strategy-financial-management-to-support-business-agility?trk=ondemandfile" TargetMode="External"/><Relationship Id="rId1611" Type="http://schemas.openxmlformats.org/officeDocument/2006/relationships/hyperlink" Target="https://www.linkedin.com/learning/paths/build-a-privacy-program?trk=ondemandfile" TargetMode="External"/><Relationship Id="rId1612" Type="http://schemas.openxmlformats.org/officeDocument/2006/relationships/hyperlink" Target="https://www.linkedin.com/learning/digital-transformation-2?trk=ondemandfile" TargetMode="External"/><Relationship Id="rId1613" Type="http://schemas.openxmlformats.org/officeDocument/2006/relationships/hyperlink" Target="https://www.linkedin.com/learning/paths/improve-processes-and-deliver-operational-excellence?trk=ondemandfile" TargetMode="External"/><Relationship Id="rId1614" Type="http://schemas.openxmlformats.org/officeDocument/2006/relationships/hyperlink" Target="https://www.linkedin.com/learning/creating-a-product-centric-organization?trk=ondemandfile" TargetMode="External"/><Relationship Id="rId1615" Type="http://schemas.openxmlformats.org/officeDocument/2006/relationships/hyperlink" Target="https://www.linkedin.com/learning/paths/improve-your-continuous-delivery-skills?trk=ondemandfile" TargetMode="External"/><Relationship Id="rId1616" Type="http://schemas.openxmlformats.org/officeDocument/2006/relationships/hyperlink" Target="https://www.linkedin.com/learning/cybersecurity-for-executives?trk=ondemandfile" TargetMode="External"/><Relationship Id="rId907" Type="http://schemas.openxmlformats.org/officeDocument/2006/relationships/hyperlink" Target="https://www.linkedin.com/learning/paths/become-an-ld-professional?trk=ondemandfile" TargetMode="External"/><Relationship Id="rId1617" Type="http://schemas.openxmlformats.org/officeDocument/2006/relationships/hyperlink" Target="https://www.linkedin.com/learning/paths/stay-ahead-in-sustainability-and-green-building?trk=ondemandfile" TargetMode="External"/><Relationship Id="rId906" Type="http://schemas.openxmlformats.org/officeDocument/2006/relationships/hyperlink" Target="https://www.linkedin.com/learning/connecting-linkedin-learning-with-your-organization-s-systems-2021?trk=ondemandfile" TargetMode="External"/><Relationship Id="rId1618" Type="http://schemas.openxmlformats.org/officeDocument/2006/relationships/hyperlink" Target="https://www.linkedin.com/learning/reid-hoffman-and-chris-yeh-on-blitzscaling?trk=ondemandfile" TargetMode="External"/><Relationship Id="rId905" Type="http://schemas.openxmlformats.org/officeDocument/2006/relationships/hyperlink" Target="https://www.linkedin.com/learning/paths/advance-your-skills-as-a-user-experience-researcher?trk=ondemandfile" TargetMode="External"/><Relationship Id="rId1619" Type="http://schemas.openxmlformats.org/officeDocument/2006/relationships/hyperlink" Target="https://www.linkedin.com/learning/paths/stay-competitive-using-design-thinking?trk=ondemandfile" TargetMode="External"/><Relationship Id="rId904" Type="http://schemas.openxmlformats.org/officeDocument/2006/relationships/hyperlink" Target="https://www.linkedin.com/learning/reinforcement-learning-foundations?trk=ondemandfile" TargetMode="External"/><Relationship Id="rId909" Type="http://schemas.openxmlformats.org/officeDocument/2006/relationships/hyperlink" Target="https://www.linkedin.com/learning/paths/become-an-instructional-designer?trk=ondemandfile" TargetMode="External"/><Relationship Id="rId908" Type="http://schemas.openxmlformats.org/officeDocument/2006/relationships/hyperlink" Target="https://www.linkedin.com/learning/camtasia-essential-training-advanced-techniques?trk=ondemandfile" TargetMode="External"/><Relationship Id="rId903" Type="http://schemas.openxmlformats.org/officeDocument/2006/relationships/hyperlink" Target="https://www.linkedin.com/learning/microsoft-power-apps-using-the-dataverse-formerly-the-common-data-service?trk=ondemandfile" TargetMode="External"/><Relationship Id="rId902" Type="http://schemas.openxmlformats.org/officeDocument/2006/relationships/hyperlink" Target="https://www.linkedin.com/learning/business-analyst-and-project-manager-collaboration?trk=ondemandfile" TargetMode="External"/><Relationship Id="rId901" Type="http://schemas.openxmlformats.org/officeDocument/2006/relationships/hyperlink" Target="https://www.linkedin.com/learning/cert-prep-agile-analysis-iiba-aac?trk=ondemandfile" TargetMode="External"/><Relationship Id="rId900" Type="http://schemas.openxmlformats.org/officeDocument/2006/relationships/hyperlink" Target="https://www.linkedin.com/learning/agile-business-analysis-weekly-tips?trk=ondemandfile" TargetMode="External"/><Relationship Id="rId1600" Type="http://schemas.openxmlformats.org/officeDocument/2006/relationships/hyperlink" Target="https://www.linkedin.com/learning/sales-management-simplified-blinkist-summary?trk=ondemandfile" TargetMode="External"/><Relationship Id="rId1601" Type="http://schemas.openxmlformats.org/officeDocument/2006/relationships/hyperlink" Target="https://www.linkedin.com/learning/backgrounder-difficult-conversations-and-negotiations?trk=ondemandfile" TargetMode="External"/><Relationship Id="rId1602" Type="http://schemas.openxmlformats.org/officeDocument/2006/relationships/hyperlink" Target="https://www.linkedin.com/learning/agile-software-development-creating-an-agile-culture?trk=ondemandfile" TargetMode="External"/><Relationship Id="rId1603" Type="http://schemas.openxmlformats.org/officeDocument/2006/relationships/hyperlink" Target="https://www.linkedin.com/learning/paths/become-a-business-operations-associate?trk=ondemandfile" TargetMode="External"/><Relationship Id="rId1604" Type="http://schemas.openxmlformats.org/officeDocument/2006/relationships/hyperlink" Target="https://www.linkedin.com/learning/mergers-acquisitions?trk=ondemandfile" TargetMode="External"/><Relationship Id="rId1605" Type="http://schemas.openxmlformats.org/officeDocument/2006/relationships/hyperlink" Target="https://www.linkedin.com/learning/paths/becoming-a-six-sigma-black-belt?trk=ondemandfile" TargetMode="External"/><Relationship Id="rId1606" Type="http://schemas.openxmlformats.org/officeDocument/2006/relationships/hyperlink" Target="https://www.linkedin.com/learning/sustainability-strategies?trk=ondemandfile" TargetMode="External"/><Relationship Id="rId1607" Type="http://schemas.openxmlformats.org/officeDocument/2006/relationships/hyperlink" Target="https://www.linkedin.com/learning/paths/becoming-a-six-sigma-green-belt?trk=ondemandfile" TargetMode="External"/><Relationship Id="rId1608" Type="http://schemas.openxmlformats.org/officeDocument/2006/relationships/hyperlink" Target="https://www.linkedin.com/learning/lean-technology-strategy-purposeful-organizations?trk=ondemandfile" TargetMode="External"/><Relationship Id="rId1609" Type="http://schemas.openxmlformats.org/officeDocument/2006/relationships/hyperlink" Target="https://www.linkedin.com/learning/paths/become-a-six-sigma-yellow-belt?trk=ondemandfile" TargetMode="External"/><Relationship Id="rId1631" Type="http://schemas.openxmlformats.org/officeDocument/2006/relationships/hyperlink" Target="https://www.linkedin.com/learning/a3-problem-solving-for-continuous-improvement?trk=ondemandfile" TargetMode="External"/><Relationship Id="rId1632" Type="http://schemas.openxmlformats.org/officeDocument/2006/relationships/hyperlink" Target="https://www.linkedin.com/learning/cost-reduction-cut-costs-and-maximise-profits?trk=ondemandfile" TargetMode="External"/><Relationship Id="rId1633" Type="http://schemas.openxmlformats.org/officeDocument/2006/relationships/hyperlink" Target="https://www.linkedin.com/learning/devops-foundations?trk=ondemandfile" TargetMode="External"/><Relationship Id="rId1634" Type="http://schemas.openxmlformats.org/officeDocument/2006/relationships/hyperlink" Target="https://www.linkedin.com/learning/inventory-management-foundations?trk=ondemandfile" TargetMode="External"/><Relationship Id="rId1635" Type="http://schemas.openxmlformats.org/officeDocument/2006/relationships/hyperlink" Target="https://www.linkedin.com/learning/job-skills-supply-chain-and-operations?trk=ondemandfile" TargetMode="External"/><Relationship Id="rId1636" Type="http://schemas.openxmlformats.org/officeDocument/2006/relationships/hyperlink" Target="https://www.linkedin.com/learning/lean-foundations?trk=ondemandfile" TargetMode="External"/><Relationship Id="rId1637" Type="http://schemas.openxmlformats.org/officeDocument/2006/relationships/hyperlink" Target="https://www.linkedin.com/learning/lean-inventory-management?trk=ondemandfile" TargetMode="External"/><Relationship Id="rId1638" Type="http://schemas.openxmlformats.org/officeDocument/2006/relationships/hyperlink" Target="https://www.linkedin.com/learning/lean-six-sigma-foundations?trk=ondemandfile" TargetMode="External"/><Relationship Id="rId929" Type="http://schemas.openxmlformats.org/officeDocument/2006/relationships/hyperlink" Target="https://www.linkedin.com/learning/paths/visual-communication-for-business-professionals?trk=ondemandfile" TargetMode="External"/><Relationship Id="rId1639" Type="http://schemas.openxmlformats.org/officeDocument/2006/relationships/hyperlink" Target="https://www.linkedin.com/learning/operations-management-foundations?trk=ondemandfile" TargetMode="External"/><Relationship Id="rId928" Type="http://schemas.openxmlformats.org/officeDocument/2006/relationships/hyperlink" Target="https://www.linkedin.com/learning/build-your-own-baller-training-quick-start-guide-2?trk=ondemandfile" TargetMode="External"/><Relationship Id="rId927" Type="http://schemas.openxmlformats.org/officeDocument/2006/relationships/hyperlink" Target="https://www.linkedin.com/learning/paths/stay-competitive-using-design-thinking?trk=ondemandfile" TargetMode="External"/><Relationship Id="rId926" Type="http://schemas.openxmlformats.org/officeDocument/2006/relationships/hyperlink" Target="https://www.linkedin.com/learning/building-engaging-video-training-that-doesn-t-suck-the-why?trk=ondemandfile" TargetMode="External"/><Relationship Id="rId921" Type="http://schemas.openxmlformats.org/officeDocument/2006/relationships/hyperlink" Target="https://www.linkedin.com/learning/paths/develop-your-course-design-and-instructional-skills?trk=ondemandfile" TargetMode="External"/><Relationship Id="rId920" Type="http://schemas.openxmlformats.org/officeDocument/2006/relationships/hyperlink" Target="https://www.linkedin.com/learning/building-a-creative-online-community?trk=ondemandfile" TargetMode="External"/><Relationship Id="rId925" Type="http://schemas.openxmlformats.org/officeDocument/2006/relationships/hyperlink" Target="https://www.linkedin.com/learning/paths/managing-your-career-as-a-developer?trk=ondemandfile" TargetMode="External"/><Relationship Id="rId924" Type="http://schemas.openxmlformats.org/officeDocument/2006/relationships/hyperlink" Target="https://www.linkedin.com/learning/building-engaging-video-training-that-doesn-t-suck-the-how?trk=ondemandfile" TargetMode="External"/><Relationship Id="rId923" Type="http://schemas.openxmlformats.org/officeDocument/2006/relationships/hyperlink" Target="https://www.linkedin.com/learning/paths/improve-your-ux-design-skills?trk=ondemandfile" TargetMode="External"/><Relationship Id="rId922" Type="http://schemas.openxmlformats.org/officeDocument/2006/relationships/hyperlink" Target="https://www.linkedin.com/learning/learning-impact-the-importance-of-storytelling?trk=ondemandfile" TargetMode="External"/><Relationship Id="rId1630" Type="http://schemas.openxmlformats.org/officeDocument/2006/relationships/hyperlink" Target="https://www.linkedin.com/learning/mastering-organizational-chaos?trk=ondemandfile" TargetMode="External"/><Relationship Id="rId1620" Type="http://schemas.openxmlformats.org/officeDocument/2006/relationships/hyperlink" Target="https://www.linkedin.com/learning/skip-level-meetings?trk=ondemandfile" TargetMode="External"/><Relationship Id="rId1621" Type="http://schemas.openxmlformats.org/officeDocument/2006/relationships/hyperlink" Target="https://www.linkedin.com/learning/paths/understand-gdpr-and-data-privacy?trk=ondemandfile" TargetMode="External"/><Relationship Id="rId1622" Type="http://schemas.openxmlformats.org/officeDocument/2006/relationships/hyperlink" Target="https://www.linkedin.com/learning/scaling-up-excellence?trk=ondemandfile" TargetMode="External"/><Relationship Id="rId1623" Type="http://schemas.openxmlformats.org/officeDocument/2006/relationships/hyperlink" Target="https://www.linkedin.com/learning/organizational-thought-leadership?trk=ondemandfile" TargetMode="External"/><Relationship Id="rId1624" Type="http://schemas.openxmlformats.org/officeDocument/2006/relationships/hyperlink" Target="https://www.linkedin.com/learning/implementing-an-information-security-program?trk=ondemandfile" TargetMode="External"/><Relationship Id="rId1625" Type="http://schemas.openxmlformats.org/officeDocument/2006/relationships/hyperlink" Target="https://www.linkedin.com/learning/workplace-visualization?trk=ondemandfile" TargetMode="External"/><Relationship Id="rId1626" Type="http://schemas.openxmlformats.org/officeDocument/2006/relationships/hyperlink" Target="https://www.linkedin.com/learning/implementing-continuous-impro-vement-a-case-study?trk=ondemandfile" TargetMode="External"/><Relationship Id="rId1627" Type="http://schemas.openxmlformats.org/officeDocument/2006/relationships/hyperlink" Target="https://www.linkedin.com/learning/devops-foundations-lean-and-agile?trk=ondemandfile" TargetMode="External"/><Relationship Id="rId918" Type="http://schemas.openxmlformats.org/officeDocument/2006/relationships/hyperlink" Target="https://www.linkedin.com/learning/graphic-design-careers-first-steps-2?trk=ondemandfile" TargetMode="External"/><Relationship Id="rId1628" Type="http://schemas.openxmlformats.org/officeDocument/2006/relationships/hyperlink" Target="https://www.linkedin.com/learning/devops-foundations-accelerating-continuous-delivery-in-the-enterprise?trk=ondemandfile" TargetMode="External"/><Relationship Id="rId917" Type="http://schemas.openxmlformats.org/officeDocument/2006/relationships/hyperlink" Target="https://www.linkedin.com/learning/paths/build-your-own-professional-training?trk=ondemandfile" TargetMode="External"/><Relationship Id="rId1629" Type="http://schemas.openxmlformats.org/officeDocument/2006/relationships/hyperlink" Target="https://www.linkedin.com/learning/microsoft-flow-advanced-business-automation?trk=ondemandfile" TargetMode="External"/><Relationship Id="rId916" Type="http://schemas.openxmlformats.org/officeDocument/2006/relationships/hyperlink" Target="https://www.linkedin.com/learning/instructional-design-essentials-models-of-id-2?trk=ondemandfile" TargetMode="External"/><Relationship Id="rId915" Type="http://schemas.openxmlformats.org/officeDocument/2006/relationships/hyperlink" Target="https://www.linkedin.com/learning/paths/become-a-user-experience-designer?trk=ondemandfile" TargetMode="External"/><Relationship Id="rId919" Type="http://schemas.openxmlformats.org/officeDocument/2006/relationships/hyperlink" Target="https://www.linkedin.com/learning/paths/create-linkedin-mobile-videos?trk=ondemandfile" TargetMode="External"/><Relationship Id="rId910" Type="http://schemas.openxmlformats.org/officeDocument/2006/relationships/hyperlink" Target="https://www.linkedin.com/learning/creating-inclusive-learning-experiences?trk=ondemandfile" TargetMode="External"/><Relationship Id="rId914" Type="http://schemas.openxmlformats.org/officeDocument/2006/relationships/hyperlink" Target="https://www.linkedin.com/learning/learning-articulate-rise?trk=ondemandfile" TargetMode="External"/><Relationship Id="rId913" Type="http://schemas.openxmlformats.org/officeDocument/2006/relationships/hyperlink" Target="https://www.linkedin.com/learning/paths/become-an-online-instructor?trk=ondemandfile" TargetMode="External"/><Relationship Id="rId912" Type="http://schemas.openxmlformats.org/officeDocument/2006/relationships/hyperlink" Target="https://www.linkedin.com/learning/corporate-instruction-foundations?trk=ondemandfile" TargetMode="External"/><Relationship Id="rId911" Type="http://schemas.openxmlformats.org/officeDocument/2006/relationships/hyperlink" Target="https://www.linkedin.com/learning/paths/become-an-instructional-developer?trk=ondemandfile" TargetMode="External"/><Relationship Id="rId1213" Type="http://schemas.openxmlformats.org/officeDocument/2006/relationships/hyperlink" Target="https://www.linkedin.com/learning/devops-foundations-going-cloud-native?trk=ondemandfile" TargetMode="External"/><Relationship Id="rId1697" Type="http://schemas.openxmlformats.org/officeDocument/2006/relationships/hyperlink" Target="https://www.linkedin.com/learning/executive-presence-on-video-conference-calls?trk=ondemandfile" TargetMode="External"/><Relationship Id="rId2544" Type="http://schemas.openxmlformats.org/officeDocument/2006/relationships/hyperlink" Target="https://www.linkedin.com/learning/the-leader-s-guide-to-mindfulness-getabstract-summary?trk=ondemandfile" TargetMode="External"/><Relationship Id="rId1214" Type="http://schemas.openxmlformats.org/officeDocument/2006/relationships/hyperlink" Target="https://www.linkedin.com/learning/paths/getting-started-with-microsoft-word?trk=ondemandfile" TargetMode="External"/><Relationship Id="rId1698" Type="http://schemas.openxmlformats.org/officeDocument/2006/relationships/hyperlink" Target="https://www.linkedin.com/learning/paths/improve-your-presentation-skills?trk=ondemandfile" TargetMode="External"/><Relationship Id="rId2545" Type="http://schemas.openxmlformats.org/officeDocument/2006/relationships/hyperlink" Target="https://www.linkedin.com/learning/the-secret-what-great-leaders-know-and-do-getabstract-summary?trk=ondemandfile" TargetMode="External"/><Relationship Id="rId1215" Type="http://schemas.openxmlformats.org/officeDocument/2006/relationships/hyperlink" Target="https://www.linkedin.com/learning/conducting-tech-interviews?trk=ondemandfile" TargetMode="External"/><Relationship Id="rId1699" Type="http://schemas.openxmlformats.org/officeDocument/2006/relationships/hyperlink" Target="https://www.linkedin.com/learning/establishing-credibility-as-a-speaker?trk=ondemandfile" TargetMode="External"/><Relationship Id="rId2546" Type="http://schemas.openxmlformats.org/officeDocument/2006/relationships/hyperlink" Target="https://www.linkedin.com/learning/jeff-weiner-on-how-to-lead-like-a-ceo?trk=ondemandfile" TargetMode="External"/><Relationship Id="rId1216" Type="http://schemas.openxmlformats.org/officeDocument/2006/relationships/hyperlink" Target="https://www.linkedin.com/learning/paths/improve-your-continuous-delivery-skills?trk=ondemandfile" TargetMode="External"/><Relationship Id="rId2547" Type="http://schemas.openxmlformats.org/officeDocument/2006/relationships/hyperlink" Target="https://www.linkedin.com/learning/advice-for-leaders-during-a-crisis-2022?trk=ondemandfile" TargetMode="External"/><Relationship Id="rId1217" Type="http://schemas.openxmlformats.org/officeDocument/2006/relationships/hyperlink" Target="https://www.linkedin.com/learning/it-service-management-foundations-measures-and-metrics?trk=ondemandfile" TargetMode="External"/><Relationship Id="rId2548" Type="http://schemas.openxmlformats.org/officeDocument/2006/relationships/hyperlink" Target="https://www.linkedin.com/learning/how-leaders-can-connect-empathy-and-results?trk=ondemandfile" TargetMode="External"/><Relationship Id="rId1218" Type="http://schemas.openxmlformats.org/officeDocument/2006/relationships/hyperlink" Target="https://www.linkedin.com/learning/paths/improve-your-itil-skills?trk=ondemandfile" TargetMode="External"/><Relationship Id="rId2549" Type="http://schemas.openxmlformats.org/officeDocument/2006/relationships/hyperlink" Target="https://www.linkedin.com/learning/leading-with-stories-2?trk=ondemandfile" TargetMode="External"/><Relationship Id="rId1219" Type="http://schemas.openxmlformats.org/officeDocument/2006/relationships/hyperlink" Target="https://www.linkedin.com/learning/ccsp-cert-prep-1-cloud-concepts-architecture-and-design-audio-review?trk=ondemandfile" TargetMode="External"/><Relationship Id="rId866" Type="http://schemas.openxmlformats.org/officeDocument/2006/relationships/hyperlink" Target="https://www.linkedin.com/learning/hiring-a-chief-data-officer?trk=contentmappingfile" TargetMode="External"/><Relationship Id="rId865" Type="http://schemas.openxmlformats.org/officeDocument/2006/relationships/hyperlink" Target="https://www.linkedin.com/learning/skills-that-set-data-scientists-apart?trk=contentmappingfile" TargetMode="External"/><Relationship Id="rId864" Type="http://schemas.openxmlformats.org/officeDocument/2006/relationships/hyperlink" Target="https://www.linkedin.com/learning/the-data-science-of-government-and-political-science-with-barton-poulson?trk=ondemandfile" TargetMode="External"/><Relationship Id="rId863" Type="http://schemas.openxmlformats.org/officeDocument/2006/relationships/hyperlink" Target="https://www.linkedin.com/learning/tech-ethics-avoiding-unintended-consequences?trk=ondemandfile" TargetMode="External"/><Relationship Id="rId869" Type="http://schemas.openxmlformats.org/officeDocument/2006/relationships/hyperlink" Target="https://www.linkedin.com/learning/excel-statistics-essential-training-2-2?trk=ondemandfile" TargetMode="External"/><Relationship Id="rId868" Type="http://schemas.openxmlformats.org/officeDocument/2006/relationships/hyperlink" Target="https://www.linkedin.com/learning/giving-computers-vision?trk=contentmappingfile" TargetMode="External"/><Relationship Id="rId867" Type="http://schemas.openxmlformats.org/officeDocument/2006/relationships/hyperlink" Target="https://www.linkedin.com/learning/best-languages-for-data-science?trk=contentmappingfile" TargetMode="External"/><Relationship Id="rId1690" Type="http://schemas.openxmlformats.org/officeDocument/2006/relationships/hyperlink" Target="https://www.linkedin.com/learning/paths/create-a-successful-pitch-for-investors?trk=ondemandfile" TargetMode="External"/><Relationship Id="rId1691" Type="http://schemas.openxmlformats.org/officeDocument/2006/relationships/hyperlink" Target="https://www.linkedin.com/learning/leading-productive-meetings-2018?trk=ondemandfile" TargetMode="External"/><Relationship Id="rId1692" Type="http://schemas.openxmlformats.org/officeDocument/2006/relationships/hyperlink" Target="https://www.linkedin.com/learning/paths/create-and-deliver-engaging-presentations?trk=ondemandfile" TargetMode="External"/><Relationship Id="rId862" Type="http://schemas.openxmlformats.org/officeDocument/2006/relationships/hyperlink" Target="https://www.linkedin.com/learning/linkedin-learning-highlights-data-science?trk=ondemandfile" TargetMode="External"/><Relationship Id="rId1693" Type="http://schemas.openxmlformats.org/officeDocument/2006/relationships/hyperlink" Target="https://www.linkedin.com/learning/facilitation-skills-for-managers-and-leaders?trk=ondemandfile" TargetMode="External"/><Relationship Id="rId2540" Type="http://schemas.openxmlformats.org/officeDocument/2006/relationships/hyperlink" Target="https://www.linkedin.com/learning/leading-inclusive-teams?trk=ondemandfile" TargetMode="External"/><Relationship Id="rId861" Type="http://schemas.openxmlformats.org/officeDocument/2006/relationships/hyperlink" Target="https://www.linkedin.com/learning/how-to-perform-business-analysis-in-a-virtual-environment?trk=ondemandfile" TargetMode="External"/><Relationship Id="rId1210" Type="http://schemas.openxmlformats.org/officeDocument/2006/relationships/hyperlink" Target="https://www.linkedin.com/learning/paths/getting-started-with-microsoft-onenote?trk=ondemandfile" TargetMode="External"/><Relationship Id="rId1694" Type="http://schemas.openxmlformats.org/officeDocument/2006/relationships/hyperlink" Target="https://www.linkedin.com/learning/paths/develop-your-presentation-skills?trk=ondemandfile" TargetMode="External"/><Relationship Id="rId2541" Type="http://schemas.openxmlformats.org/officeDocument/2006/relationships/hyperlink" Target="https://www.linkedin.com/learning/body-language-for-leaders-2?trk=ondemandfile" TargetMode="External"/><Relationship Id="rId860" Type="http://schemas.openxmlformats.org/officeDocument/2006/relationships/hyperlink" Target="https://www.linkedin.com/learning/r-essential-training-part-2-modeling-dat?trk=ondemandfile" TargetMode="External"/><Relationship Id="rId1211" Type="http://schemas.openxmlformats.org/officeDocument/2006/relationships/hyperlink" Target="https://www.linkedin.com/learning/learning-xai-explainable-artificial-intelligence?trk=ondemandfile" TargetMode="External"/><Relationship Id="rId1695" Type="http://schemas.openxmlformats.org/officeDocument/2006/relationships/hyperlink" Target="https://www.linkedin.com/learning/graphic-facilitation-for-productive-team-meetings?trk=ondemandfile" TargetMode="External"/><Relationship Id="rId2542" Type="http://schemas.openxmlformats.org/officeDocument/2006/relationships/hyperlink" Target="https://www.linkedin.com/learning/becoming-a-manager-your-team-loves?trk=ondemandfile" TargetMode="External"/><Relationship Id="rId1212" Type="http://schemas.openxmlformats.org/officeDocument/2006/relationships/hyperlink" Target="https://www.linkedin.com/learning/paths/getting-started-with-microsoft-outlook?trk=ondemandfile" TargetMode="External"/><Relationship Id="rId1696" Type="http://schemas.openxmlformats.org/officeDocument/2006/relationships/hyperlink" Target="https://www.linkedin.com/learning/paths/getting-started-with-microsoft-powerpoint?trk=ondemandfile" TargetMode="External"/><Relationship Id="rId2543" Type="http://schemas.openxmlformats.org/officeDocument/2006/relationships/hyperlink" Target="https://www.linkedin.com/learning/the-art-of-connection-7-relationship-building-skills-every-leader-needs-now-getabstract-summary?trk=ondemandfile" TargetMode="External"/><Relationship Id="rId1202" Type="http://schemas.openxmlformats.org/officeDocument/2006/relationships/hyperlink" Target="https://www.linkedin.com/learning/paths/become-a-sharepoint-2013-microsoft-office-specialist?trk=ondemandfile" TargetMode="External"/><Relationship Id="rId1686" Type="http://schemas.openxmlformats.org/officeDocument/2006/relationships/hyperlink" Target="https://www.linkedin.com/learning/design-thinking-understanding-the-process?trk=ondemandfile" TargetMode="External"/><Relationship Id="rId2533" Type="http://schemas.openxmlformats.org/officeDocument/2006/relationships/hyperlink" Target="https://www.linkedin.com/learning/10-mistakes-leaders-should-avoid?trk=ondemandfile" TargetMode="External"/><Relationship Id="rId1203" Type="http://schemas.openxmlformats.org/officeDocument/2006/relationships/hyperlink" Target="https://www.linkedin.com/learning/intro-to-service-management-with-itil-4?trk=ondemandfile" TargetMode="External"/><Relationship Id="rId1687" Type="http://schemas.openxmlformats.org/officeDocument/2006/relationships/hyperlink" Target="https://www.linkedin.com/learning/outsourcing-critical-success-factors?trk=ondemandfile" TargetMode="External"/><Relationship Id="rId2534" Type="http://schemas.openxmlformats.org/officeDocument/2006/relationships/hyperlink" Target="https://www.linkedin.com/learning/making-more-impact-as-a-middle-manager?trk=ondemandfile" TargetMode="External"/><Relationship Id="rId1204" Type="http://schemas.openxmlformats.org/officeDocument/2006/relationships/hyperlink" Target="https://www.linkedin.com/learning/paths/become-a-word-2013-microsoft-office-specialist?trk=ondemandfile" TargetMode="External"/><Relationship Id="rId1688" Type="http://schemas.openxmlformats.org/officeDocument/2006/relationships/hyperlink" Target="https://www.linkedin.com/learning/outsourcing-management?trk=ondemandfile" TargetMode="External"/><Relationship Id="rId2535" Type="http://schemas.openxmlformats.org/officeDocument/2006/relationships/hyperlink" Target="https://www.linkedin.com/learning/how-to-build-credibility-as-a-leader?trk=ondemandfile" TargetMode="External"/><Relationship Id="rId1205" Type="http://schemas.openxmlformats.org/officeDocument/2006/relationships/hyperlink" Target="https://www.linkedin.com/learning/inclusive-tech-the-case-for-inclusive-leadership?trk=ondemandfile" TargetMode="External"/><Relationship Id="rId1689" Type="http://schemas.openxmlformats.org/officeDocument/2006/relationships/hyperlink" Target="https://www.linkedin.com/learning/communication-tips-for-pitching-to-investors?trk=ondemandfile" TargetMode="External"/><Relationship Id="rId2536" Type="http://schemas.openxmlformats.org/officeDocument/2006/relationships/hyperlink" Target="https://www.linkedin.com/learning/developing-credibility-as-a-leader?trk=ondemandfile" TargetMode="External"/><Relationship Id="rId1206" Type="http://schemas.openxmlformats.org/officeDocument/2006/relationships/hyperlink" Target="https://www.linkedin.com/learning/paths/get-ahead-in-ios-app-development?trk=ondemandfile" TargetMode="External"/><Relationship Id="rId2537" Type="http://schemas.openxmlformats.org/officeDocument/2006/relationships/hyperlink" Target="https://www.linkedin.com/learning/leading-with-emotional-intelligence-2018?trk=ondemandfile" TargetMode="External"/><Relationship Id="rId1207" Type="http://schemas.openxmlformats.org/officeDocument/2006/relationships/hyperlink" Target="https://www.linkedin.com/learning/become-a-digital-trust-safety-leader?trk=ondemandfile" TargetMode="External"/><Relationship Id="rId2538" Type="http://schemas.openxmlformats.org/officeDocument/2006/relationships/hyperlink" Target="https://www.linkedin.com/learning/leading-at-a-distance?trk=ondemandfile" TargetMode="External"/><Relationship Id="rId1208" Type="http://schemas.openxmlformats.org/officeDocument/2006/relationships/hyperlink" Target="https://www.linkedin.com/learning/paths/getting-started-with-microsoft-excel?trk=ondemandfile" TargetMode="External"/><Relationship Id="rId2539" Type="http://schemas.openxmlformats.org/officeDocument/2006/relationships/hyperlink" Target="https://www.linkedin.com/learning/leading-in-government?trk=ondemandfile" TargetMode="External"/><Relationship Id="rId1209" Type="http://schemas.openxmlformats.org/officeDocument/2006/relationships/hyperlink" Target="https://www.linkedin.com/learning/technical-product-management?trk=ondemandfile" TargetMode="External"/><Relationship Id="rId855" Type="http://schemas.openxmlformats.org/officeDocument/2006/relationships/hyperlink" Target="https://www.linkedin.com/learning/learning-public-data-sets-2?trk=ondemandfile" TargetMode="External"/><Relationship Id="rId854" Type="http://schemas.openxmlformats.org/officeDocument/2006/relationships/hyperlink" Target="https://www.linkedin.com/learning/the-data-game-of-fantasy-football?trk=ondemandfile" TargetMode="External"/><Relationship Id="rId853" Type="http://schemas.openxmlformats.org/officeDocument/2006/relationships/hyperlink" Target="https://www.linkedin.com/learning/learning-data-visualization-2019-revision?trk=ondemandfile" TargetMode="External"/><Relationship Id="rId852" Type="http://schemas.openxmlformats.org/officeDocument/2006/relationships/hyperlink" Target="https://www.linkedin.com/learning/excel-statistics-essential-training-1-2?trk=ondemandfile" TargetMode="External"/><Relationship Id="rId859" Type="http://schemas.openxmlformats.org/officeDocument/2006/relationships/hyperlink" Target="https://www.linkedin.com/learning/the-non-technical-skills-of-effective-data-scientists?trk=ondemandfile" TargetMode="External"/><Relationship Id="rId858" Type="http://schemas.openxmlformats.org/officeDocument/2006/relationships/hyperlink" Target="https://www.linkedin.com/learning/cloud-hadoop-scaling-apache-spark?trk=ondemandfile" TargetMode="External"/><Relationship Id="rId857" Type="http://schemas.openxmlformats.org/officeDocument/2006/relationships/hyperlink" Target="https://www.linkedin.com/learning/r-essential-training-part-1-wrangling-and-visualizing-data?trk=ondemandfile" TargetMode="External"/><Relationship Id="rId856" Type="http://schemas.openxmlformats.org/officeDocument/2006/relationships/hyperlink" Target="https://www.linkedin.com/learning/spss-statistics-essential-training-2?trk=ondemandfile" TargetMode="External"/><Relationship Id="rId1680" Type="http://schemas.openxmlformats.org/officeDocument/2006/relationships/hyperlink" Target="https://www.linkedin.com/learning/sap-bi-bw-project-design-and-implementation?trk=ondemandfile" TargetMode="External"/><Relationship Id="rId1681" Type="http://schemas.openxmlformats.org/officeDocument/2006/relationships/hyperlink" Target="https://www.linkedin.com/learning/following-the-digital-thread?trk=ondemandfile" TargetMode="External"/><Relationship Id="rId851" Type="http://schemas.openxmlformats.org/officeDocument/2006/relationships/hyperlink" Target="https://www.linkedin.com/learning/data-science-foundations-fundamentals-2019-full-revision?trk=ondemandfile" TargetMode="External"/><Relationship Id="rId1682" Type="http://schemas.openxmlformats.org/officeDocument/2006/relationships/hyperlink" Target="https://www.linkedin.com/learning/supply-chain-basics-for-everyone?trk=ondemandfile" TargetMode="External"/><Relationship Id="rId850" Type="http://schemas.openxmlformats.org/officeDocument/2006/relationships/hyperlink" Target="https://www.linkedin.com/learning/data-ethics-making-data-driven-decisions-2022?trk=ondemandfile" TargetMode="External"/><Relationship Id="rId1683" Type="http://schemas.openxmlformats.org/officeDocument/2006/relationships/hyperlink" Target="https://www.linkedin.com/learning/operational-excellence-foundations?trk=ondemandfile" TargetMode="External"/><Relationship Id="rId2530" Type="http://schemas.openxmlformats.org/officeDocument/2006/relationships/hyperlink" Target="https://www.linkedin.com/learning/leadership-foundations-4?trk=ondemandfile" TargetMode="External"/><Relationship Id="rId1200" Type="http://schemas.openxmlformats.org/officeDocument/2006/relationships/hyperlink" Target="https://www.linkedin.com/learning/paths/become-an-seo-expert?trk=ondemandfile" TargetMode="External"/><Relationship Id="rId1684" Type="http://schemas.openxmlformats.org/officeDocument/2006/relationships/hyperlink" Target="https://www.linkedin.com/learning/supply-chain-and-operations-careers-certification-tips-and-tricks?trk=ondemandfile" TargetMode="External"/><Relationship Id="rId2531" Type="http://schemas.openxmlformats.org/officeDocument/2006/relationships/hyperlink" Target="https://www.linkedin.com/learning/developing-assertive-leadership?trk=ondemandfile" TargetMode="External"/><Relationship Id="rId1201" Type="http://schemas.openxmlformats.org/officeDocument/2006/relationships/hyperlink" Target="https://www.linkedin.com/learning/implementing-an-information-security-program?trk=ondemandfile" TargetMode="External"/><Relationship Id="rId1685" Type="http://schemas.openxmlformats.org/officeDocument/2006/relationships/hyperlink" Target="https://www.linkedin.com/learning/how-to-make-strategic-thinking-a-habit?trk=ondemandfile" TargetMode="External"/><Relationship Id="rId2532" Type="http://schemas.openxmlformats.org/officeDocument/2006/relationships/hyperlink" Target="https://www.linkedin.com/learning/key-mental-shifts-for-servant-leadership?trk=ondemandfile" TargetMode="External"/><Relationship Id="rId1235" Type="http://schemas.openxmlformats.org/officeDocument/2006/relationships/hyperlink" Target="https://www.linkedin.com/learning/creating-accessible-pdfs-14445392?trk=contentmappingfile" TargetMode="External"/><Relationship Id="rId2566" Type="http://schemas.openxmlformats.org/officeDocument/2006/relationships/hyperlink" Target="https://www.linkedin.com/learning/leadership-through-feedback?trk=ondemandfile" TargetMode="External"/><Relationship Id="rId1236" Type="http://schemas.openxmlformats.org/officeDocument/2006/relationships/hyperlink" Target="https://www.linkedin.com/learning/paths/prepare-for-the-excel-2013-microsoft-office-specialist-mos-expert-exam?trk=ondemandfile" TargetMode="External"/><Relationship Id="rId2567" Type="http://schemas.openxmlformats.org/officeDocument/2006/relationships/hyperlink" Target="https://www.linkedin.com/learning/mulitpliers?trk=ondemandfile" TargetMode="External"/><Relationship Id="rId1237" Type="http://schemas.openxmlformats.org/officeDocument/2006/relationships/hyperlink" Target="https://www.linkedin.com/learning/asset-accounting-acquisitions-in-sap-s-4hana?trk=ondemandfile" TargetMode="External"/><Relationship Id="rId2568" Type="http://schemas.openxmlformats.org/officeDocument/2006/relationships/hyperlink" Target="https://www.linkedin.com/learning/leading-and-motivating-different-personalities?trk=ondemandfile" TargetMode="External"/><Relationship Id="rId1238" Type="http://schemas.openxmlformats.org/officeDocument/2006/relationships/hyperlink" Target="https://www.linkedin.com/learning/paths/prepare-for-the-word-2013-microsoft-office-specialist-mos-expert-exam?trk=ondemandfile" TargetMode="External"/><Relationship Id="rId2569" Type="http://schemas.openxmlformats.org/officeDocument/2006/relationships/hyperlink" Target="https://www.linkedin.com/learning/leadership-blindspots-revision-2021?trk=ondemandfile" TargetMode="External"/><Relationship Id="rId1239" Type="http://schemas.openxmlformats.org/officeDocument/2006/relationships/hyperlink" Target="https://www.linkedin.com/learning/sap-successfactors-performance-and-goals-management?trk=ondemandfile" TargetMode="External"/><Relationship Id="rId409" Type="http://schemas.openxmlformats.org/officeDocument/2006/relationships/hyperlink" Target="https://www.linkedin.com/learning/listen-to-lead?trk=ondemandfile" TargetMode="External"/><Relationship Id="rId404" Type="http://schemas.openxmlformats.org/officeDocument/2006/relationships/hyperlink" Target="https://www.linkedin.com/learning/building-relationships-while-working-from-home?trk=ondemandfile" TargetMode="External"/><Relationship Id="rId888" Type="http://schemas.openxmlformats.org/officeDocument/2006/relationships/hyperlink" Target="https://www.linkedin.com/learning/sap-erp-beyond-the-bas-ics?trk=ondemandfile" TargetMode="External"/><Relationship Id="rId403" Type="http://schemas.openxmlformats.org/officeDocument/2006/relationships/hyperlink" Target="https://www.linkedin.com/learning/how-to-own-a-room?trk=ondemandfile" TargetMode="External"/><Relationship Id="rId887" Type="http://schemas.openxmlformats.org/officeDocument/2006/relationships/hyperlink" Target="https://www.linkedin.com/learning/power-bi-dataflows-essential-training?trk=ondemandfile" TargetMode="External"/><Relationship Id="rId402" Type="http://schemas.openxmlformats.org/officeDocument/2006/relationships/hyperlink" Target="https://www.linkedin.com/learning/complete-confidence-in-minutes-weekly?trk=ondemandfile" TargetMode="External"/><Relationship Id="rId886" Type="http://schemas.openxmlformats.org/officeDocument/2006/relationships/hyperlink" Target="https://www.linkedin.com/learning/sql-data-reporting-and-analysis-2?trk=ondemandfile" TargetMode="External"/><Relationship Id="rId401" Type="http://schemas.openxmlformats.org/officeDocument/2006/relationships/hyperlink" Target="https://www.linkedin.com/learning/having-bold-and-inclusive-conversations?trk=ondemandfile" TargetMode="External"/><Relationship Id="rId885" Type="http://schemas.openxmlformats.org/officeDocument/2006/relationships/hyperlink" Target="https://www.linkedin.com/learning/python-for-data-visualization?trk=ondemandfile" TargetMode="External"/><Relationship Id="rId408" Type="http://schemas.openxmlformats.org/officeDocument/2006/relationships/hyperlink" Target="https://www.linkedin.com/learning/a-step-by-step-guide-to-building-your-thought-leadership-on-linkedin-uk?trk=ondemandfile" TargetMode="External"/><Relationship Id="rId407" Type="http://schemas.openxmlformats.org/officeDocument/2006/relationships/hyperlink" Target="https://www.linkedin.com/learning/difficult-conversations-about-politics-at-work?trk=ondemandfile" TargetMode="External"/><Relationship Id="rId406" Type="http://schemas.openxmlformats.org/officeDocument/2006/relationships/hyperlink" Target="https://www.linkedin.com/learning/speaking-up-at-work?trk=ondemandfile" TargetMode="External"/><Relationship Id="rId405" Type="http://schemas.openxmlformats.org/officeDocument/2006/relationships/hyperlink" Target="https://www.linkedin.com/learning/difficult-conversations-talking-about-race-at-work?trk=ondemandfile" TargetMode="External"/><Relationship Id="rId889" Type="http://schemas.openxmlformats.org/officeDocument/2006/relationships/hyperlink" Target="https://www.linkedin.com/learning/tableau-and-r-for-analytics-projects?trk=ondemandfile" TargetMode="External"/><Relationship Id="rId880" Type="http://schemas.openxmlformats.org/officeDocument/2006/relationships/hyperlink" Target="https://www.linkedin.com/learning/big-data-analytics-with-hadoop-and-apache-spark?trk=ondemandfile" TargetMode="External"/><Relationship Id="rId2560" Type="http://schemas.openxmlformats.org/officeDocument/2006/relationships/hyperlink" Target="https://www.linkedin.com/learning/coaching-skills-for-leaders-and-managers?trk=ondemandfile" TargetMode="External"/><Relationship Id="rId1230" Type="http://schemas.openxmlformats.org/officeDocument/2006/relationships/hyperlink" Target="https://www.linkedin.com/learning/paths/master-microsoft-onenote?trk=ondemandfile" TargetMode="External"/><Relationship Id="rId2561" Type="http://schemas.openxmlformats.org/officeDocument/2006/relationships/hyperlink" Target="https://www.linkedin.com/learning/lead-like-a-boss?trk=ondemandfile" TargetMode="External"/><Relationship Id="rId400" Type="http://schemas.openxmlformats.org/officeDocument/2006/relationships/hyperlink" Target="https://www.linkedin.com/learning/zoom-leading-effective-and-engaging-calls?trk=ondemandfile" TargetMode="External"/><Relationship Id="rId884" Type="http://schemas.openxmlformats.org/officeDocument/2006/relationships/hyperlink" Target="https://www.linkedin.com/learning/using-python-with-excel?trk=ondemandfile" TargetMode="External"/><Relationship Id="rId1231" Type="http://schemas.openxmlformats.org/officeDocument/2006/relationships/hyperlink" Target="https://www.linkedin.com/learning/iot-foundations-standards-and-ecosystems-14427225?trk=contentmappingfile" TargetMode="External"/><Relationship Id="rId2562" Type="http://schemas.openxmlformats.org/officeDocument/2006/relationships/hyperlink" Target="https://www.linkedin.com/learning/leading-effectively?trk=ondemandfile" TargetMode="External"/><Relationship Id="rId883" Type="http://schemas.openxmlformats.org/officeDocument/2006/relationships/hyperlink" Target="https://www.linkedin.com/learning/power-bi-data-methods?trk=ondemandfile" TargetMode="External"/><Relationship Id="rId1232" Type="http://schemas.openxmlformats.org/officeDocument/2006/relationships/hyperlink" Target="https://www.linkedin.com/learning/paths/master-microsoft-outlook?trk=ondemandfile" TargetMode="External"/><Relationship Id="rId2563" Type="http://schemas.openxmlformats.org/officeDocument/2006/relationships/hyperlink" Target="https://www.linkedin.com/learning/business-ethics-for-managers-and-leaders?trk=ondemandfile" TargetMode="External"/><Relationship Id="rId882" Type="http://schemas.openxmlformats.org/officeDocument/2006/relationships/hyperlink" Target="https://www.linkedin.com/learning/data-dashboards-in-powe-r-bi?trk=ondemandfile" TargetMode="External"/><Relationship Id="rId1233" Type="http://schemas.openxmlformats.org/officeDocument/2006/relationships/hyperlink" Target="https://www.linkedin.com/learning/facilitating-remote-design-thinking?trk=contentmappingfile" TargetMode="External"/><Relationship Id="rId2564" Type="http://schemas.openxmlformats.org/officeDocument/2006/relationships/hyperlink" Target="https://www.linkedin.com/learning/lessons-in-enlightened-leadership?trk=ondemandfile" TargetMode="External"/><Relationship Id="rId881" Type="http://schemas.openxmlformats.org/officeDocument/2006/relationships/hyperlink" Target="https://www.linkedin.com/learning/text-analytics-and-predictions-with-r-essential-training?trk=ondemandfile" TargetMode="External"/><Relationship Id="rId1234" Type="http://schemas.openxmlformats.org/officeDocument/2006/relationships/hyperlink" Target="https://www.linkedin.com/learning/paths/master-microsoft-word?trk=ondemandfile" TargetMode="External"/><Relationship Id="rId2565" Type="http://schemas.openxmlformats.org/officeDocument/2006/relationships/hyperlink" Target="https://www.linkedin.com/learning/managing-skills-for-remote-leaders?trk=ondemandfile" TargetMode="External"/><Relationship Id="rId1224" Type="http://schemas.openxmlformats.org/officeDocument/2006/relationships/hyperlink" Target="https://www.linkedin.com/learning/paths/master-cloud-native-infrastructure-with-kubernetes?trk=ondemandfile" TargetMode="External"/><Relationship Id="rId2555" Type="http://schemas.openxmlformats.org/officeDocument/2006/relationships/hyperlink" Target="https://www.linkedin.com/learning/facilitation-skills-for-managers-and-leaders?trk=ondemandfile" TargetMode="External"/><Relationship Id="rId1225" Type="http://schemas.openxmlformats.org/officeDocument/2006/relationships/hyperlink" Target="https://www.linkedin.com/learning/learning-claris-connect-2021?trk=ondemandfile" TargetMode="External"/><Relationship Id="rId2556" Type="http://schemas.openxmlformats.org/officeDocument/2006/relationships/hyperlink" Target="https://www.linkedin.com/learning/leading-and-working-in-teams?trk=ondemandfile" TargetMode="External"/><Relationship Id="rId1226" Type="http://schemas.openxmlformats.org/officeDocument/2006/relationships/hyperlink" Target="https://www.linkedin.com/learning/paths/master-digital-transformation?trk=ondemandfile" TargetMode="External"/><Relationship Id="rId2557" Type="http://schemas.openxmlformats.org/officeDocument/2006/relationships/hyperlink" Target="https://www.linkedin.com/learning/leading-with-applied-improv?trk=ondemandfile" TargetMode="External"/><Relationship Id="rId1227" Type="http://schemas.openxmlformats.org/officeDocument/2006/relationships/hyperlink" Target="https://www.linkedin.com/learning/microsoft-dynamics-365-essential-training-2021?trk=ondemandfile" TargetMode="External"/><Relationship Id="rId2558" Type="http://schemas.openxmlformats.org/officeDocument/2006/relationships/hyperlink" Target="https://www.linkedin.com/learning/2020-vlog-leading-with-intelligent-disobedience?trk=ondemandfile" TargetMode="External"/><Relationship Id="rId1228" Type="http://schemas.openxmlformats.org/officeDocument/2006/relationships/hyperlink" Target="https://www.linkedin.com/learning/paths/master-microsoft-excel?trk=ondemandfile" TargetMode="External"/><Relationship Id="rId2559" Type="http://schemas.openxmlformats.org/officeDocument/2006/relationships/hyperlink" Target="https://www.linkedin.com/learning/leading-through-relationships?trk=ondemandfile" TargetMode="External"/><Relationship Id="rId1229" Type="http://schemas.openxmlformats.org/officeDocument/2006/relationships/hyperlink" Target="https://www.linkedin.com/learning/conversations-on-cryptography?trk=ondemandfile" TargetMode="External"/><Relationship Id="rId877" Type="http://schemas.openxmlformats.org/officeDocument/2006/relationships/hyperlink" Target="https://www.linkedin.com/learning/nosql-data-modeling-essential-training?trk=ondemandfile" TargetMode="External"/><Relationship Id="rId876" Type="http://schemas.openxmlformats.org/officeDocument/2006/relationships/hyperlink" Target="https://www.linkedin.com/learning/excel-supply-chain-analysis-solving-transportation-problems?trk=ondemandfile" TargetMode="External"/><Relationship Id="rId875" Type="http://schemas.openxmlformats.org/officeDocument/2006/relationships/hyperlink" Target="https://www.linkedin.com/learning/data-visualization-storytelling?trk=ondemandfile" TargetMode="External"/><Relationship Id="rId874" Type="http://schemas.openxmlformats.org/officeDocument/2006/relationships/hyperlink" Target="https://www.linkedin.com/learning/ux-deep-dive-analyzing-data?trk=ondemandfile" TargetMode="External"/><Relationship Id="rId879" Type="http://schemas.openxmlformats.org/officeDocument/2006/relationships/hyperlink" Target="https://www.linkedin.com/learning/power-bi-data-modeling-with-dax?trk=ondemandfile" TargetMode="External"/><Relationship Id="rId878" Type="http://schemas.openxmlformats.org/officeDocument/2006/relationships/hyperlink" Target="https://www.linkedin.com/learning/storytelling-with-data?trk=ondemandfile" TargetMode="External"/><Relationship Id="rId2550" Type="http://schemas.openxmlformats.org/officeDocument/2006/relationships/hyperlink" Target="https://www.linkedin.com/learning/how-to-be-a-positive-leader?trk=ondemandfile" TargetMode="External"/><Relationship Id="rId873" Type="http://schemas.openxmlformats.org/officeDocument/2006/relationships/hyperlink" Target="https://www.linkedin.com/learning/excel-charts-in-depth?trk=ondemandfile" TargetMode="External"/><Relationship Id="rId1220" Type="http://schemas.openxmlformats.org/officeDocument/2006/relationships/hyperlink" Target="https://www.linkedin.com/learning/paths/improve-your-microsoft-excel-skills?trk=ondemandfile" TargetMode="External"/><Relationship Id="rId2551" Type="http://schemas.openxmlformats.org/officeDocument/2006/relationships/hyperlink" Target="https://www.linkedin.com/learning/leaders-eat-last?trk=ondemandfile" TargetMode="External"/><Relationship Id="rId872" Type="http://schemas.openxmlformats.org/officeDocument/2006/relationships/hyperlink" Target="https://www.linkedin.com/learning/design-thinking-data-intelligence?trk=ondemandfile" TargetMode="External"/><Relationship Id="rId1221" Type="http://schemas.openxmlformats.org/officeDocument/2006/relationships/hyperlink" Target="https://www.linkedin.com/learning/managing-and-working-with-a-technical-team-for-nontechnical-professionals?trk=ondemandfile" TargetMode="External"/><Relationship Id="rId2552" Type="http://schemas.openxmlformats.org/officeDocument/2006/relationships/hyperlink" Target="https://www.linkedin.com/learning/be-a-better-manager-by-motivating-your-team?trk=ondemandfile" TargetMode="External"/><Relationship Id="rId871" Type="http://schemas.openxmlformats.org/officeDocument/2006/relationships/hyperlink" Target="https://www.linkedin.com/learning/2e8b717a-4b47-387b-81d7-f37e4e29e4fb?trk=ondemandfile" TargetMode="External"/><Relationship Id="rId1222" Type="http://schemas.openxmlformats.org/officeDocument/2006/relationships/hyperlink" Target="https://www.linkedin.com/learning/paths/improve-your-tableau-skills?trk=ondemandfile" TargetMode="External"/><Relationship Id="rId2553" Type="http://schemas.openxmlformats.org/officeDocument/2006/relationships/hyperlink" Target="https://www.linkedin.com/learning/leading-your-team-through-actionable-change?trk=ondemandfile" TargetMode="External"/><Relationship Id="rId870" Type="http://schemas.openxmlformats.org/officeDocument/2006/relationships/hyperlink" Target="https://www.linkedin.com/learning/03dd510b-7db9-3067-949e-6ee38f2bf60a?trk=ondemandfile" TargetMode="External"/><Relationship Id="rId1223" Type="http://schemas.openxmlformats.org/officeDocument/2006/relationships/hyperlink" Target="https://www.linkedin.com/learning/comptia-security-plus-sy0-601-cert-prep-8-network-security-design-and-implementation?trk=ondemandfile" TargetMode="External"/><Relationship Id="rId2554" Type="http://schemas.openxmlformats.org/officeDocument/2006/relationships/hyperlink" Target="https://www.linkedin.com/learning/executive-presence-on-video-conference-calls?trk=ondemandfile" TargetMode="External"/><Relationship Id="rId1653" Type="http://schemas.openxmlformats.org/officeDocument/2006/relationships/hyperlink" Target="https://www.linkedin.com/learning/data-ethics-managing-your-private-customer-data?trk=ondemandfile" TargetMode="External"/><Relationship Id="rId2500" Type="http://schemas.openxmlformats.org/officeDocument/2006/relationships/hyperlink" Target="https://www.linkedin.com/learning/leading-from-the-middle?trk=ondemandfile" TargetMode="External"/><Relationship Id="rId1654" Type="http://schemas.openxmlformats.org/officeDocument/2006/relationships/hyperlink" Target="https://www.linkedin.com/learning/quality-management-foundations?trk=ondemandfile" TargetMode="External"/><Relationship Id="rId2501" Type="http://schemas.openxmlformats.org/officeDocument/2006/relationships/hyperlink" Target="https://www.linkedin.com/learning/stories-every-leader-should-tell?trk=ondemandfile" TargetMode="External"/><Relationship Id="rId1655" Type="http://schemas.openxmlformats.org/officeDocument/2006/relationships/hyperlink" Target="https://www.linkedin.com/learning/operations-management-weekly-serial-planning-q2-2018?trk=ondemandfile" TargetMode="External"/><Relationship Id="rId2502" Type="http://schemas.openxmlformats.org/officeDocument/2006/relationships/hyperlink" Target="https://www.linkedin.com/learning/start-with-why?trk=ondemandfile" TargetMode="External"/><Relationship Id="rId1656" Type="http://schemas.openxmlformats.org/officeDocument/2006/relationships/hyperlink" Target="https://www.linkedin.com/learning/how-blockchains-will-change-business?trk=ondemandfile" TargetMode="External"/><Relationship Id="rId2503" Type="http://schemas.openxmlformats.org/officeDocument/2006/relationships/hyperlink" Target="https://www.linkedin.com/learning/leading-with-values?trk=ondemandfile" TargetMode="External"/><Relationship Id="rId1657" Type="http://schemas.openxmlformats.org/officeDocument/2006/relationships/hyperlink" Target="https://www.linkedin.com/learning/design-thinking-implementing-the-process?trk=ondemandfile" TargetMode="External"/><Relationship Id="rId2504" Type="http://schemas.openxmlformats.org/officeDocument/2006/relationships/hyperlink" Target="https://www.linkedin.com/learning/change-leadership?trk=ondemandfile" TargetMode="External"/><Relationship Id="rId1658" Type="http://schemas.openxmlformats.org/officeDocument/2006/relationships/hyperlink" Target="https://www.linkedin.com/learning/understanding-logistics?trk=ondemandfile" TargetMode="External"/><Relationship Id="rId2505" Type="http://schemas.openxmlformats.org/officeDocument/2006/relationships/hyperlink" Target="https://www.linkedin.com/learning/collaborative-leadership?trk=ondemandfile" TargetMode="External"/><Relationship Id="rId1659" Type="http://schemas.openxmlformats.org/officeDocument/2006/relationships/hyperlink" Target="https://www.linkedin.com/learning/implementing-a-vulnerability-management-lifecycle?trk=ondemandfile" TargetMode="External"/><Relationship Id="rId2506" Type="http://schemas.openxmlformats.org/officeDocument/2006/relationships/hyperlink" Target="https://www.linkedin.com/learning/executive-leadership?trk=ondemandfile" TargetMode="External"/><Relationship Id="rId2507" Type="http://schemas.openxmlformats.org/officeDocument/2006/relationships/hyperlink" Target="https://www.linkedin.com/learning/human-centered-leadership?trk=ondemandfile" TargetMode="External"/><Relationship Id="rId2508" Type="http://schemas.openxmlformats.org/officeDocument/2006/relationships/hyperlink" Target="https://www.linkedin.com/learning/leading-with-purpose?trk=ondemandfile" TargetMode="External"/><Relationship Id="rId829" Type="http://schemas.openxmlformats.org/officeDocument/2006/relationships/hyperlink" Target="https://www.linkedin.com/learning/business-analysis-foundations-business-process-modeling?trk=ondemandfile" TargetMode="External"/><Relationship Id="rId2509" Type="http://schemas.openxmlformats.org/officeDocument/2006/relationships/hyperlink" Target="https://www.linkedin.com/learning/balancing-multiple-roles-as-a-leader?trk=ondemandfile" TargetMode="External"/><Relationship Id="rId828" Type="http://schemas.openxmlformats.org/officeDocument/2006/relationships/hyperlink" Target="https://www.linkedin.com/learning/paths/master-advanced-excel-data-analytics-skills?trk=ondemandfile" TargetMode="External"/><Relationship Id="rId827" Type="http://schemas.openxmlformats.org/officeDocument/2006/relationships/hyperlink" Target="https://www.linkedin.com/learning/data-driven-learning-design?trk=ondemandfile" TargetMode="External"/><Relationship Id="rId822" Type="http://schemas.openxmlformats.org/officeDocument/2006/relationships/hyperlink" Target="https://www.linkedin.com/learning/paths/become-a-business-intelligence-specialist?trk=ondemandfile" TargetMode="External"/><Relationship Id="rId821" Type="http://schemas.openxmlformats.org/officeDocument/2006/relationships/hyperlink" Target="https://www.linkedin.com/learning/43526866-1304-3fba-8ab8-93dc593a5b24?trk=ondemandfile" TargetMode="External"/><Relationship Id="rId820" Type="http://schemas.openxmlformats.org/officeDocument/2006/relationships/hyperlink" Target="https://www.linkedin.com/learning/paths/build-essential-data-skills?trk=ondemandfile" TargetMode="External"/><Relationship Id="rId826" Type="http://schemas.openxmlformats.org/officeDocument/2006/relationships/hyperlink" Target="https://www.linkedin.com/learning/paths/get-ahead-in-data-science?trk=ondemandfile" TargetMode="External"/><Relationship Id="rId825" Type="http://schemas.openxmlformats.org/officeDocument/2006/relationships/hyperlink" Target="https://www.linkedin.com/learning/apache-flink-exploratory-data-analytics-with-sql?trk=ondemandfile" TargetMode="External"/><Relationship Id="rId824" Type="http://schemas.openxmlformats.org/officeDocument/2006/relationships/hyperlink" Target="https://www.linkedin.com/learning/paths/develop-your-data-analysis-skills?trk=ondemandfile" TargetMode="External"/><Relationship Id="rId823" Type="http://schemas.openxmlformats.org/officeDocument/2006/relationships/hyperlink" Target="https://www.linkedin.com/learning/people-analytics?trk=ondemandfile" TargetMode="External"/><Relationship Id="rId1650" Type="http://schemas.openxmlformats.org/officeDocument/2006/relationships/hyperlink" Target="https://www.linkedin.com/learning/developing-organizational-awareness?trk=ondemandfile" TargetMode="External"/><Relationship Id="rId1651" Type="http://schemas.openxmlformats.org/officeDocument/2006/relationships/hyperlink" Target="https://www.linkedin.com/learning/revenue-staffing-and-expense-models-explained?trk=ondemandfile" TargetMode="External"/><Relationship Id="rId1652" Type="http://schemas.openxmlformats.org/officeDocument/2006/relationships/hyperlink" Target="https://www.linkedin.com/learning/pricing-strategy-explained?trk=ondemandfile" TargetMode="External"/><Relationship Id="rId1642" Type="http://schemas.openxmlformats.org/officeDocument/2006/relationships/hyperlink" Target="https://www.linkedin.com/learning/introducing-ai-to-your-organization?trk=ondemandfile" TargetMode="External"/><Relationship Id="rId1643" Type="http://schemas.openxmlformats.org/officeDocument/2006/relationships/hyperlink" Target="https://www.linkedin.com/learning/understanding-business?trk=ondemandfile" TargetMode="External"/><Relationship Id="rId1644" Type="http://schemas.openxmlformats.org/officeDocument/2006/relationships/hyperlink" Target="https://www.linkedin.com/learning/lean-deep-dive-job-instruction?trk=ondemandfile" TargetMode="External"/><Relationship Id="rId1645" Type="http://schemas.openxmlformats.org/officeDocument/2006/relationships/hyperlink" Target="https://www.linkedin.com/learning/implementing-lean-a-case-study?trk=ondemandfile" TargetMode="External"/><Relationship Id="rId1646" Type="http://schemas.openxmlformats.org/officeDocument/2006/relationships/hyperlink" Target="https://www.linkedin.com/learning/from-resisting-to-embracing-lean-a-case-study?trk=ondemandfile" TargetMode="External"/><Relationship Id="rId1647" Type="http://schemas.openxmlformats.org/officeDocument/2006/relationships/hyperlink" Target="https://www.linkedin.com/learning/outsourcing-fundamentals?trk=ondemandfile" TargetMode="External"/><Relationship Id="rId1648" Type="http://schemas.openxmlformats.org/officeDocument/2006/relationships/hyperlink" Target="https://www.linkedin.com/learning/outsourcing-managing-service-transition?trk=ondemandfile" TargetMode="External"/><Relationship Id="rId1649" Type="http://schemas.openxmlformats.org/officeDocument/2006/relationships/hyperlink" Target="https://www.linkedin.com/learning/the-most-important-content-kpis-for-creators?trk=ondemandfile" TargetMode="External"/><Relationship Id="rId819" Type="http://schemas.openxmlformats.org/officeDocument/2006/relationships/hyperlink" Target="https://www.linkedin.com/learning/business-analytics-deep-dive-forecasting-with-exponential-smoothing?trk=ondemandfile" TargetMode="External"/><Relationship Id="rId818" Type="http://schemas.openxmlformats.org/officeDocument/2006/relationships/hyperlink" Target="https://www.linkedin.com/learning/paths/become-a-data-scientist?trk=ondemandfile" TargetMode="External"/><Relationship Id="rId817" Type="http://schemas.openxmlformats.org/officeDocument/2006/relationships/hyperlink" Target="https://www.linkedin.com/learning/excel-vba-managing-files-and-data-2?trk=ondemandfile" TargetMode="External"/><Relationship Id="rId816" Type="http://schemas.openxmlformats.org/officeDocument/2006/relationships/hyperlink" Target="https://www.linkedin.com/learning/paths/become-a-data-analytics-specialist?trk=ondemandfile" TargetMode="External"/><Relationship Id="rId811" Type="http://schemas.openxmlformats.org/officeDocument/2006/relationships/hyperlink" Target="https://www.linkedin.com/learning/data-visualization-best-practices-14429760?trk=contentmappingfile" TargetMode="External"/><Relationship Id="rId810" Type="http://schemas.openxmlformats.org/officeDocument/2006/relationships/hyperlink" Target="https://www.linkedin.com/learning/paths/become-a-data-analyst?trk=ondemandfile" TargetMode="External"/><Relationship Id="rId815" Type="http://schemas.openxmlformats.org/officeDocument/2006/relationships/hyperlink" Target="https://www.linkedin.com/learning/lessons-from-data-scientists?trk=ondemandfile" TargetMode="External"/><Relationship Id="rId814" Type="http://schemas.openxmlformats.org/officeDocument/2006/relationships/hyperlink" Target="https://www.linkedin.com/learning/paths/become-a-data-visualization-specialist-tools?trk=ondemandfile" TargetMode="External"/><Relationship Id="rId813" Type="http://schemas.openxmlformats.org/officeDocument/2006/relationships/hyperlink" Target="https://www.linkedin.com/learning/15-mistakes-to-avoid-in-data-science?trk=ondemandfile" TargetMode="External"/><Relationship Id="rId812" Type="http://schemas.openxmlformats.org/officeDocument/2006/relationships/hyperlink" Target="https://www.linkedin.com/learning/paths/become-a-data-visualization-specialist-concepts?trk=ondemandfile" TargetMode="External"/><Relationship Id="rId1640" Type="http://schemas.openxmlformats.org/officeDocument/2006/relationships/hyperlink" Target="https://www.linkedin.com/learning/process-improvement-foundations?trk=ondemandfile" TargetMode="External"/><Relationship Id="rId1641" Type="http://schemas.openxmlformats.org/officeDocument/2006/relationships/hyperlink" Target="https://www.linkedin.com/learning/supply-chain-foundations?trk=ondemandfile" TargetMode="External"/><Relationship Id="rId1675" Type="http://schemas.openxmlformats.org/officeDocument/2006/relationships/hyperlink" Target="https://www.linkedin.com/learning/agile-software-development-clean-coding-practices?trk=ondemandfile" TargetMode="External"/><Relationship Id="rId2522" Type="http://schemas.openxmlformats.org/officeDocument/2006/relationships/hyperlink" Target="https://www.linkedin.com/learning/futures-centered-design?trk=ondemandfile" TargetMode="External"/><Relationship Id="rId1676" Type="http://schemas.openxmlformats.org/officeDocument/2006/relationships/hyperlink" Target="https://www.linkedin.com/learning/predictive-analytics-essential-training-for-executives?trk=ondemandfile" TargetMode="External"/><Relationship Id="rId2523" Type="http://schemas.openxmlformats.org/officeDocument/2006/relationships/hyperlink" Target="https://www.linkedin.com/learning/ken-blanchard-on-servant-leadership?trk=ondemandfile" TargetMode="External"/><Relationship Id="rId1677" Type="http://schemas.openxmlformats.org/officeDocument/2006/relationships/hyperlink" Target="https://www.linkedin.com/learning/sap-ariba-supply-chain-collaboration-overview?trk=ondemandfile" TargetMode="External"/><Relationship Id="rId2524" Type="http://schemas.openxmlformats.org/officeDocument/2006/relationships/hyperlink" Target="https://www.linkedin.com/learning/productive-leadership?trk=ondemandfile" TargetMode="External"/><Relationship Id="rId1678" Type="http://schemas.openxmlformats.org/officeDocument/2006/relationships/hyperlink" Target="https://www.linkedin.com/learning/ai-in-fintech-essential-training?trk=ondemandfile" TargetMode="External"/><Relationship Id="rId2525" Type="http://schemas.openxmlformats.org/officeDocument/2006/relationships/hyperlink" Target="https://www.linkedin.com/learning/communicating-in-the-lan-guage-of-leadership?trk=ondemandfile" TargetMode="External"/><Relationship Id="rId1679" Type="http://schemas.openxmlformats.org/officeDocument/2006/relationships/hyperlink" Target="https://www.linkedin.com/learning/introduction-to-sap-bi-bw?trk=ondemandfile" TargetMode="External"/><Relationship Id="rId2526" Type="http://schemas.openxmlformats.org/officeDocument/2006/relationships/hyperlink" Target="https://www.linkedin.com/learning/leading-with-fearless-mindfulness?trk=ondemandfile" TargetMode="External"/><Relationship Id="rId2527" Type="http://schemas.openxmlformats.org/officeDocument/2006/relationships/hyperlink" Target="https://www.linkedin.com/learning/emerging-leader-foundations?trk=ondemandfile" TargetMode="External"/><Relationship Id="rId2528" Type="http://schemas.openxmlformats.org/officeDocument/2006/relationships/hyperlink" Target="https://www.linkedin.com/learning/leadership-foundations-leadership-styles-and-models?trk=ondemandfile" TargetMode="External"/><Relationship Id="rId2529" Type="http://schemas.openxmlformats.org/officeDocument/2006/relationships/hyperlink" Target="https://www.linkedin.com/learning/leadership-practical-skills?trk=ondemandfile" TargetMode="External"/><Relationship Id="rId849" Type="http://schemas.openxmlformats.org/officeDocument/2006/relationships/hyperlink" Target="https://www.linkedin.com/learning/blockchain-basics-14414119?trk=contentmappingfile" TargetMode="External"/><Relationship Id="rId844" Type="http://schemas.openxmlformats.org/officeDocument/2006/relationships/hyperlink" Target="https://www.linkedin.com/learning/power-bi-dashboards-for-beginners?trk=ondemandfile" TargetMode="External"/><Relationship Id="rId843" Type="http://schemas.openxmlformats.org/officeDocument/2006/relationships/hyperlink" Target="https://www.linkedin.com/learning/ethics-and-law-in-data-analytics?trk=ondemandfile" TargetMode="External"/><Relationship Id="rId842" Type="http://schemas.openxmlformats.org/officeDocument/2006/relationships/hyperlink" Target="https://www.linkedin.com/learning/business-analytics-sales-data?trk=ondemandfile" TargetMode="External"/><Relationship Id="rId841" Type="http://schemas.openxmlformats.org/officeDocument/2006/relationships/hyperlink" Target="https://www.linkedin.com/learning/business-analytics-marketing-data?trk=ondemandfile" TargetMode="External"/><Relationship Id="rId848" Type="http://schemas.openxmlformats.org/officeDocument/2006/relationships/hyperlink" Target="https://www.linkedin.com/learning/presenting-data-effectively-to-inform-and-inspire?trk=ondemandfile" TargetMode="External"/><Relationship Id="rId847" Type="http://schemas.openxmlformats.org/officeDocument/2006/relationships/hyperlink" Target="https://www.linkedin.com/learning/data-ethics-watching-out-for-data-misuse?trk=ondemandfile" TargetMode="External"/><Relationship Id="rId846" Type="http://schemas.openxmlformats.org/officeDocument/2006/relationships/hyperlink" Target="https://www.linkedin.com/learning/how-to-use-data-visualization-to-make-better-decisions-faster?trk=ondemandfile" TargetMode="External"/><Relationship Id="rId845" Type="http://schemas.openxmlformats.org/officeDocument/2006/relationships/hyperlink" Target="https://www.linkedin.com/learning/15-tips-for-landing-a-data-science-job?trk=ondemandfile" TargetMode="External"/><Relationship Id="rId1670" Type="http://schemas.openxmlformats.org/officeDocument/2006/relationships/hyperlink" Target="https://www.linkedin.com/learning/purchasing?trk=ondemandfile" TargetMode="External"/><Relationship Id="rId840" Type="http://schemas.openxmlformats.org/officeDocument/2006/relationships/hyperlink" Target="https://www.linkedin.com/learning/introduction-to-business-analytics?trk=ondemandfile" TargetMode="External"/><Relationship Id="rId1671" Type="http://schemas.openxmlformats.org/officeDocument/2006/relationships/hyperlink" Target="https://www.linkedin.com/learning/six-sigma-green-belt?trk=ondemandfile" TargetMode="External"/><Relationship Id="rId1672" Type="http://schemas.openxmlformats.org/officeDocument/2006/relationships/hyperlink" Target="https://www.linkedin.com/learning/business-investment-analysis?trk=ondemandfile" TargetMode="External"/><Relationship Id="rId1673" Type="http://schemas.openxmlformats.org/officeDocument/2006/relationships/hyperlink" Target="https://www.linkedin.com/learning/managing-logistics?trk=ondemandfile" TargetMode="External"/><Relationship Id="rId2520" Type="http://schemas.openxmlformats.org/officeDocument/2006/relationships/hyperlink" Target="https://www.linkedin.com/learning/navigating-environmental-sustainability-a-guide-for-leaders?trk=ondemandfile" TargetMode="External"/><Relationship Id="rId1674" Type="http://schemas.openxmlformats.org/officeDocument/2006/relationships/hyperlink" Target="https://www.linkedin.com/learning/excel-implementing-balanced-scorecards-with-kpis?trk=ondemandfile" TargetMode="External"/><Relationship Id="rId2521" Type="http://schemas.openxmlformats.org/officeDocument/2006/relationships/hyperlink" Target="https://www.linkedin.com/learning/humble-leadership-the-power-of-relationships-openness-and-trust-getabstract-summary?trk=ondemandfile" TargetMode="External"/><Relationship Id="rId1664" Type="http://schemas.openxmlformats.org/officeDocument/2006/relationships/hyperlink" Target="https://www.linkedin.com/learning/implementing-supply-chain-management?trk=ondemandfile" TargetMode="External"/><Relationship Id="rId2511" Type="http://schemas.openxmlformats.org/officeDocument/2006/relationships/hyperlink" Target="https://www.linkedin.com/learning/leadership-upskilling-in-a-zoom-economy?trk=ondemandfile" TargetMode="External"/><Relationship Id="rId1665" Type="http://schemas.openxmlformats.org/officeDocument/2006/relationships/hyperlink" Target="https://www.linkedin.com/learning/lean-six-sigma-analyze-improve-and-control-tools?trk=ondemandfile" TargetMode="External"/><Relationship Id="rId2512" Type="http://schemas.openxmlformats.org/officeDocument/2006/relationships/hyperlink" Target="https://www.linkedin.com/learning/foundations-of-leading-global-organisations?trk=ondemandfile" TargetMode="External"/><Relationship Id="rId1666" Type="http://schemas.openxmlformats.org/officeDocument/2006/relationships/hyperlink" Target="https://www.linkedin.com/learning/lean-six-sigma-define-and-measure-tools?trk=ondemandfile" TargetMode="External"/><Relationship Id="rId2513" Type="http://schemas.openxmlformats.org/officeDocument/2006/relationships/hyperlink" Target="https://www.linkedin.com/learning/creating-a-culture-of-service?trk=ondemandfile" TargetMode="External"/><Relationship Id="rId1667" Type="http://schemas.openxmlformats.org/officeDocument/2006/relationships/hyperlink" Target="https://www.linkedin.com/learning/lean-technology-strategy-starting-your-business-transformation-2?trk=ondemandfile" TargetMode="External"/><Relationship Id="rId2514" Type="http://schemas.openxmlformats.org/officeDocument/2006/relationships/hyperlink" Target="https://www.linkedin.com/learning/organizational-thought-leadership?trk=ondemandfile" TargetMode="External"/><Relationship Id="rId1668" Type="http://schemas.openxmlformats.org/officeDocument/2006/relationships/hyperlink" Target="https://www.linkedin.com/learning/lean-six-sigma-work-out-and-kaizen-facilitator?trk=ondemandfile" TargetMode="External"/><Relationship Id="rId2515" Type="http://schemas.openxmlformats.org/officeDocument/2006/relationships/hyperlink" Target="https://www.linkedin.com/learning/leading-with-vision?trk=ondemandfile" TargetMode="External"/><Relationship Id="rId1669" Type="http://schemas.openxmlformats.org/officeDocument/2006/relationships/hyperlink" Target="https://www.linkedin.com/learning/product-management-building-a-product-strategy?trk=ondemandfile" TargetMode="External"/><Relationship Id="rId2516" Type="http://schemas.openxmlformats.org/officeDocument/2006/relationships/hyperlink" Target="https://www.linkedin.com/learning/using-emotions-to-leverage-and-accelerate-change-a-guide-for-leaders?trk=ondemandfile" TargetMode="External"/><Relationship Id="rId2517" Type="http://schemas.openxmlformats.org/officeDocument/2006/relationships/hyperlink" Target="https://www.linkedin.com/learning/getting-your-talent-to-bring-their-best-ideas-to-work?trk=ondemandfile" TargetMode="External"/><Relationship Id="rId2518" Type="http://schemas.openxmlformats.org/officeDocument/2006/relationships/hyperlink" Target="https://www.linkedin.com/learning/coaching-your-team-from-uncertainty-to-action?trk=ondemandfile" TargetMode="External"/><Relationship Id="rId2519" Type="http://schemas.openxmlformats.org/officeDocument/2006/relationships/hyperlink" Target="https://www.linkedin.com/learning/coaching-yourself-through-the-ambiguity-of-leading?trk=ondemandfile" TargetMode="External"/><Relationship Id="rId839" Type="http://schemas.openxmlformats.org/officeDocument/2006/relationships/hyperlink" Target="https://www.linkedin.com/learning/sas-9-4-cert-prep-analyzing-and-reporting-on-data?trk=ondemandfile" TargetMode="External"/><Relationship Id="rId838" Type="http://schemas.openxmlformats.org/officeDocument/2006/relationships/hyperlink" Target="https://www.linkedin.com/learning/introducing-ai-to-your-organization?trk=ondemandfile" TargetMode="External"/><Relationship Id="rId833" Type="http://schemas.openxmlformats.org/officeDocument/2006/relationships/hyperlink" Target="https://www.linkedin.com/learning/data-fluency-exploring-and-describing-data?trk=ondemandfile" TargetMode="External"/><Relationship Id="rId832" Type="http://schemas.openxmlformats.org/officeDocument/2006/relationships/hyperlink" Target="https://www.linkedin.com/learning/paths/master-python-for-data-science?trk=ondemandfile" TargetMode="External"/><Relationship Id="rId831" Type="http://schemas.openxmlformats.org/officeDocument/2006/relationships/hyperlink" Target="https://www.linkedin.com/learning/business-analysis-competencies-ba?trk=ondemandfile" TargetMode="External"/><Relationship Id="rId830" Type="http://schemas.openxmlformats.org/officeDocument/2006/relationships/hyperlink" Target="https://www.linkedin.com/learning/paths/master-excel-for-data-science?trk=ondemandfile" TargetMode="External"/><Relationship Id="rId837" Type="http://schemas.openxmlformats.org/officeDocument/2006/relationships/hyperlink" Target="https://www.linkedin.com/learning/studying-for-the-certified-business-analysis-professional-cbap?trk=ondemandfile" TargetMode="External"/><Relationship Id="rId836" Type="http://schemas.openxmlformats.org/officeDocument/2006/relationships/hyperlink" Target="https://www.linkedin.com/learning/sql-for-exploratory-data-analysis-essential-training?trk=ondemandfile" TargetMode="External"/><Relationship Id="rId835" Type="http://schemas.openxmlformats.org/officeDocument/2006/relationships/hyperlink" Target="https://www.linkedin.com/learning/learning-excel-data-analysis?trk=ondemandfile" TargetMode="External"/><Relationship Id="rId834" Type="http://schemas.openxmlformats.org/officeDocument/2006/relationships/hyperlink" Target="https://www.linkedin.com/learning/data-science-tools-of-the-trade-first-steps?trk=ondemandfile" TargetMode="External"/><Relationship Id="rId1660" Type="http://schemas.openxmlformats.org/officeDocument/2006/relationships/hyperlink" Target="https://www.linkedin.com/learning/business-process-improvement?trk=ondemandfile" TargetMode="External"/><Relationship Id="rId1661" Type="http://schemas.openxmlformats.org/officeDocument/2006/relationships/hyperlink" Target="https://www.linkedin.com/learning/ux-deep-dive-remote-research?trk=ondemandfile" TargetMode="External"/><Relationship Id="rId1662" Type="http://schemas.openxmlformats.org/officeDocument/2006/relationships/hyperlink" Target="https://www.linkedin.com/learning/excel-supply-chain-analysis-solving-transportation-problems?trk=ondemandfile" TargetMode="External"/><Relationship Id="rId1663" Type="http://schemas.openxmlformats.org/officeDocument/2006/relationships/hyperlink" Target="https://www.linkedin.com/learning/enterprise-agile-changing-your-culture?trk=ondemandfile" TargetMode="External"/><Relationship Id="rId2510" Type="http://schemas.openxmlformats.org/officeDocument/2006/relationships/hyperlink" Target="https://www.linkedin.com/learning/risk-taking-for-leaders-14145630?trk=ondemandfile" TargetMode="External"/><Relationship Id="rId2148" Type="http://schemas.openxmlformats.org/officeDocument/2006/relationships/hyperlink" Target="https://www.linkedin.com/learning/hiring-an-employee-for-managers?trk=ondemandfile" TargetMode="External"/><Relationship Id="rId2149" Type="http://schemas.openxmlformats.org/officeDocument/2006/relationships/hyperlink" Target="https://www.linkedin.com/learning/coaching-and-developing-employees-2019?trk=ondemandfile" TargetMode="External"/><Relationship Id="rId469" Type="http://schemas.openxmlformats.org/officeDocument/2006/relationships/hyperlink" Target="https://www.linkedin.com/learning/paths/become-a-digital-advertising-specialist?trk=ondemandfile" TargetMode="External"/><Relationship Id="rId468" Type="http://schemas.openxmlformats.org/officeDocument/2006/relationships/hyperlink" Target="https://www.linkedin.com/learning/cmo-foundations-measuring-marketing-effectiveness-roi?trk=ondemandfile" TargetMode="External"/><Relationship Id="rId467" Type="http://schemas.openxmlformats.org/officeDocument/2006/relationships/hyperlink" Target="https://www.linkedin.com/learning/paths/become-a-content-strategist-2?trk=ondemandfile" TargetMode="External"/><Relationship Id="rId1290" Type="http://schemas.openxmlformats.org/officeDocument/2006/relationships/hyperlink" Target="https://www.linkedin.com/learning/access-2019-building-dashboards-for-excel?trk=ondemandfile" TargetMode="External"/><Relationship Id="rId1291" Type="http://schemas.openxmlformats.org/officeDocument/2006/relationships/hyperlink" Target="https://www.linkedin.com/learning/learning-sap-sd-sales-and-distribution?trk=ondemandfile" TargetMode="External"/><Relationship Id="rId1292" Type="http://schemas.openxmlformats.org/officeDocument/2006/relationships/hyperlink" Target="https://www.linkedin.com/learning/autoscaling-your-application-with-microsoft-azure?trk=ondemandfile" TargetMode="External"/><Relationship Id="rId462" Type="http://schemas.openxmlformats.org/officeDocument/2006/relationships/hyperlink" Target="https://www.linkedin.com/learning/difficult-conversations-about-politics-at-work?trk=ondemandfile" TargetMode="External"/><Relationship Id="rId1293" Type="http://schemas.openxmlformats.org/officeDocument/2006/relationships/hyperlink" Target="https://www.linkedin.com/learning/powerpoint-8-easy-ways-to-make-your-presentations-look-better?trk=ondemandfile" TargetMode="External"/><Relationship Id="rId2140" Type="http://schemas.openxmlformats.org/officeDocument/2006/relationships/hyperlink" Target="https://www.linkedin.com/learning/finding-and-retaining-high-potentials-9018297?trk=ondemandfile" TargetMode="External"/><Relationship Id="rId461" Type="http://schemas.openxmlformats.org/officeDocument/2006/relationships/hyperlink" Target="https://www.linkedin.com/learning/how-to-give-negative-feedback-to-senior-colleagues?trk=ondemandfile" TargetMode="External"/><Relationship Id="rId1294" Type="http://schemas.openxmlformats.org/officeDocument/2006/relationships/hyperlink" Target="https://www.linkedin.com/learning/applied-ai-for-human-resources?trk=ondemandfile" TargetMode="External"/><Relationship Id="rId2141" Type="http://schemas.openxmlformats.org/officeDocument/2006/relationships/hyperlink" Target="https://www.linkedin.com/learning/people-success-employee-assessments?trk=ondemandfile" TargetMode="External"/><Relationship Id="rId460" Type="http://schemas.openxmlformats.org/officeDocument/2006/relationships/hyperlink" Target="https://www.linkedin.com/learning/marketing-during-a-crisis?trk=ondemandfile" TargetMode="External"/><Relationship Id="rId1295" Type="http://schemas.openxmlformats.org/officeDocument/2006/relationships/hyperlink" Target="https://www.linkedin.com/learning/using-microsoft-teams-and-outlook-together-maximizing-productivity?trk=ondemandfile" TargetMode="External"/><Relationship Id="rId2142" Type="http://schemas.openxmlformats.org/officeDocument/2006/relationships/hyperlink" Target="https://www.linkedin.com/learning/how-to-set-team-and-employee-goals?trk=ondemandfile" TargetMode="External"/><Relationship Id="rId1296" Type="http://schemas.openxmlformats.org/officeDocument/2006/relationships/hyperlink" Target="https://www.linkedin.com/learning/applied-ai-for-it-operations?trk=ondemandfile" TargetMode="External"/><Relationship Id="rId2143" Type="http://schemas.openxmlformats.org/officeDocument/2006/relationships/hyperlink" Target="https://www.linkedin.com/learning/virtual-performance-reviews-and-feedback?trk=ondemandfile" TargetMode="External"/><Relationship Id="rId466" Type="http://schemas.openxmlformats.org/officeDocument/2006/relationships/hyperlink" Target="https://www.linkedin.com/learning/cmo-foundations-creating-a-marketing-culture?trk=ondemandfile" TargetMode="External"/><Relationship Id="rId1297" Type="http://schemas.openxmlformats.org/officeDocument/2006/relationships/hyperlink" Target="https://www.linkedin.com/learning/manage-apps-with-configuration-manager?trk=ondemandfile" TargetMode="External"/><Relationship Id="rId2144" Type="http://schemas.openxmlformats.org/officeDocument/2006/relationships/hyperlink" Target="https://www.linkedin.com/learning/managers-as-multipliers-of-well-being?trk=ondemandfile" TargetMode="External"/><Relationship Id="rId465" Type="http://schemas.openxmlformats.org/officeDocument/2006/relationships/hyperlink" Target="https://www.linkedin.com/learning/paths/become-an-ama-professional-certified-marketer-in-digital-marketing?trk=ondemandfile" TargetMode="External"/><Relationship Id="rId1298" Type="http://schemas.openxmlformats.org/officeDocument/2006/relationships/hyperlink" Target="https://www.linkedin.com/learning/sscp-cert-prep-7-systems-and-application-security?trk=ondemandfile" TargetMode="External"/><Relationship Id="rId2145" Type="http://schemas.openxmlformats.org/officeDocument/2006/relationships/hyperlink" Target="https://www.linkedin.com/learning/achieving-diversity-as-a-hiring-manager?trk=ondemandfile" TargetMode="External"/><Relationship Id="rId464" Type="http://schemas.openxmlformats.org/officeDocument/2006/relationships/hyperlink" Target="https://www.linkedin.com/learning/pricing-strategy-value-based-pricing?trk=ondemandfile" TargetMode="External"/><Relationship Id="rId1299" Type="http://schemas.openxmlformats.org/officeDocument/2006/relationships/hyperlink" Target="https://www.linkedin.com/learning/api-testing-for-web-services?trk=ondemandfile" TargetMode="External"/><Relationship Id="rId2146" Type="http://schemas.openxmlformats.org/officeDocument/2006/relationships/hyperlink" Target="https://www.linkedin.com/learning/performance-management-conducting-performance-reviews?trk=ondemandfile" TargetMode="External"/><Relationship Id="rId463" Type="http://schemas.openxmlformats.org/officeDocument/2006/relationships/hyperlink" Target="https://www.linkedin.com/learning/managing-misconduct-in-the-workplace?trk=ondemandfile" TargetMode="External"/><Relationship Id="rId2147" Type="http://schemas.openxmlformats.org/officeDocument/2006/relationships/hyperlink" Target="https://www.linkedin.com/learning/performance-management-setting-goals-and-managing-performance?trk=ondemandfile" TargetMode="External"/><Relationship Id="rId2137" Type="http://schemas.openxmlformats.org/officeDocument/2006/relationships/hyperlink" Target="https://www.linkedin.com/learning/paths/managing-performance?trk=ondemandfile" TargetMode="External"/><Relationship Id="rId2138" Type="http://schemas.openxmlformats.org/officeDocument/2006/relationships/hyperlink" Target="https://www.linkedin.com/learning/hr-and-digital-transformation?trk=ondemandfile" TargetMode="External"/><Relationship Id="rId2139" Type="http://schemas.openxmlformats.org/officeDocument/2006/relationships/hyperlink" Target="https://www.linkedin.com/learning/paths/recruit-and-maximize-talent?trk=ondemandfile" TargetMode="External"/><Relationship Id="rId459" Type="http://schemas.openxmlformats.org/officeDocument/2006/relationships/hyperlink" Target="https://www.linkedin.com/learning/leading-in-crisis?trk=ondemandfile" TargetMode="External"/><Relationship Id="rId458" Type="http://schemas.openxmlformats.org/officeDocument/2006/relationships/hyperlink" Target="https://www.linkedin.com/learning/effective-listening?trk=ondemandfile" TargetMode="External"/><Relationship Id="rId457" Type="http://schemas.openxmlformats.org/officeDocument/2006/relationships/hyperlink" Target="https://www.linkedin.com/learning/improving-your-conflict-competence?trk=ondemandfile" TargetMode="External"/><Relationship Id="rId456" Type="http://schemas.openxmlformats.org/officeDocument/2006/relationships/hyperlink" Target="https://www.linkedin.com/learning/having-difficult-conversations-2?trk=ondemandfile" TargetMode="External"/><Relationship Id="rId1280" Type="http://schemas.openxmlformats.org/officeDocument/2006/relationships/hyperlink" Target="https://www.linkedin.com/learning/introduction-to-responsible-ai-algorithm-design?trk=ondemandfile" TargetMode="External"/><Relationship Id="rId1281" Type="http://schemas.openxmlformats.org/officeDocument/2006/relationships/hyperlink" Target="https://www.linkedin.com/learning/microsoft-viva-first-look?trk=ondemandfile" TargetMode="External"/><Relationship Id="rId451" Type="http://schemas.openxmlformats.org/officeDocument/2006/relationships/hyperlink" Target="https://www.linkedin.com/learning/how-to-manage-high-stakes-conflict?trk=ondemandfile" TargetMode="External"/><Relationship Id="rId1282" Type="http://schemas.openxmlformats.org/officeDocument/2006/relationships/hyperlink" Target="https://www.linkedin.com/learning/quickbooks-online-essential-training-2021?trk=ondemandfile" TargetMode="External"/><Relationship Id="rId450" Type="http://schemas.openxmlformats.org/officeDocument/2006/relationships/hyperlink" Target="https://www.linkedin.com/learning/embracing-conflict-as-a-gift?trk=ondemandfile" TargetMode="External"/><Relationship Id="rId1283" Type="http://schemas.openxmlformats.org/officeDocument/2006/relationships/hyperlink" Target="https://www.linkedin.com/learning/google-sheets-essential-training-2021?trk=ondemandfile" TargetMode="External"/><Relationship Id="rId2130" Type="http://schemas.openxmlformats.org/officeDocument/2006/relationships/hyperlink" Target="https://www.linkedin.com/learning/getting-your-talent-to-bring-their-best-ideas-to-work?trk=ondemandfile" TargetMode="External"/><Relationship Id="rId1284" Type="http://schemas.openxmlformats.org/officeDocument/2006/relationships/hyperlink" Target="https://www.linkedin.com/learning/simple-statistics-for-user-experience-projects?trk=ondemandfile" TargetMode="External"/><Relationship Id="rId2131" Type="http://schemas.openxmlformats.org/officeDocument/2006/relationships/hyperlink" Target="https://www.linkedin.com/learning/paths/become-a-senior-manager?trk=ondemandfile" TargetMode="External"/><Relationship Id="rId1285" Type="http://schemas.openxmlformats.org/officeDocument/2006/relationships/hyperlink" Target="https://www.linkedin.com/learning/systems-thinking-for-product-designers?trk=ondemandfile" TargetMode="External"/><Relationship Id="rId2132" Type="http://schemas.openxmlformats.org/officeDocument/2006/relationships/hyperlink" Target="https://www.linkedin.com/learning/talent-management?trk=ondemandfile" TargetMode="External"/><Relationship Id="rId455" Type="http://schemas.openxmlformats.org/officeDocument/2006/relationships/hyperlink" Target="https://www.linkedin.com/learning/fred-kofman-on-managing-conflict?trk=ondemandfile" TargetMode="External"/><Relationship Id="rId1286" Type="http://schemas.openxmlformats.org/officeDocument/2006/relationships/hyperlink" Target="https://www.linkedin.com/learning/google-analytics-ga4-audience-building-and-segmentation?trk=ondemandfile" TargetMode="External"/><Relationship Id="rId2133" Type="http://schemas.openxmlformats.org/officeDocument/2006/relationships/hyperlink" Target="https://www.linkedin.com/learning/paths/finding-and-retaining-talent?trk=ondemandfile" TargetMode="External"/><Relationship Id="rId454" Type="http://schemas.openxmlformats.org/officeDocument/2006/relationships/hyperlink" Target="https://www.linkedin.com/learning/mixtape-highlights-from-linkedin-learning-courses?trk=ondemandfile" TargetMode="External"/><Relationship Id="rId1287" Type="http://schemas.openxmlformats.org/officeDocument/2006/relationships/hyperlink" Target="https://www.linkedin.com/learning/migrating-from-universal-analytics-to-google-analytics-4?trk=ondemandfile" TargetMode="External"/><Relationship Id="rId2134" Type="http://schemas.openxmlformats.org/officeDocument/2006/relationships/hyperlink" Target="https://www.linkedin.com/learning/rewarding-employee-performance?trk=ondemandfile" TargetMode="External"/><Relationship Id="rId453" Type="http://schemas.openxmlformats.org/officeDocument/2006/relationships/hyperlink" Target="https://www.linkedin.com/learning/how-to-win-arguments?trk=ondemandfile" TargetMode="External"/><Relationship Id="rId1288" Type="http://schemas.openxmlformats.org/officeDocument/2006/relationships/hyperlink" Target="https://www.linkedin.com/learning/learning-sap-production-planning?trk=ondemandfile" TargetMode="External"/><Relationship Id="rId2135" Type="http://schemas.openxmlformats.org/officeDocument/2006/relationships/hyperlink" Target="https://www.linkedin.com/learning/paths/improve-your-coaching-skills-as-a-manager?trk=ondemandfile" TargetMode="External"/><Relationship Id="rId452" Type="http://schemas.openxmlformats.org/officeDocument/2006/relationships/hyperlink" Target="https://www.linkedin.com/learning/how-to-use-negotiation-jiu-jitsu-to-resolve-conflicts-and-persuade?trk=ondemandfile" TargetMode="External"/><Relationship Id="rId1289" Type="http://schemas.openxmlformats.org/officeDocument/2006/relationships/hyperlink" Target="https://www.linkedin.com/learning/learning-sap-mm-materials-management?trk=ondemandfile" TargetMode="External"/><Relationship Id="rId2136" Type="http://schemas.openxmlformats.org/officeDocument/2006/relationships/hyperlink" Target="https://www.linkedin.com/learning/employee-experience?trk=ondemandfile" TargetMode="External"/><Relationship Id="rId491" Type="http://schemas.openxmlformats.org/officeDocument/2006/relationships/hyperlink" Target="https://www.linkedin.com/learning/paths/improve-your-digital-marketing-skills?trk=ondemandfile" TargetMode="External"/><Relationship Id="rId490" Type="http://schemas.openxmlformats.org/officeDocument/2006/relationships/hyperlink" Target="https://www.linkedin.com/learning/marketing-tools-seo-8551757?trk=ondemandfile" TargetMode="External"/><Relationship Id="rId489" Type="http://schemas.openxmlformats.org/officeDocument/2006/relationships/hyperlink" Target="https://www.linkedin.com/learning/paths/develop-your-marketing-skills?trk=ondemandfile" TargetMode="External"/><Relationship Id="rId2160" Type="http://schemas.openxmlformats.org/officeDocument/2006/relationships/hyperlink" Target="https://www.linkedin.com/learning/performance-management-improving-employee-performance?trk=ondemandfile" TargetMode="External"/><Relationship Id="rId2161" Type="http://schemas.openxmlformats.org/officeDocument/2006/relationships/hyperlink" Target="https://www.linkedin.com/learning/foundations-of-performance-management?trk=ondemandfile" TargetMode="External"/><Relationship Id="rId484" Type="http://schemas.openxmlformats.org/officeDocument/2006/relationships/hyperlink" Target="https://www.linkedin.com/learning/advertising-on-linkedin-8986011?trk=ondemandfile" TargetMode="External"/><Relationship Id="rId2162" Type="http://schemas.openxmlformats.org/officeDocument/2006/relationships/hyperlink" Target="https://www.linkedin.com/learning/empathy-tips-for-hr-professionals?trk=ondemandfile" TargetMode="External"/><Relationship Id="rId483" Type="http://schemas.openxmlformats.org/officeDocument/2006/relationships/hyperlink" Target="https://www.linkedin.com/learning/paths/become-a-social-media-advertising-specialist?trk=ondemandfile" TargetMode="External"/><Relationship Id="rId2163" Type="http://schemas.openxmlformats.org/officeDocument/2006/relationships/hyperlink" Target="https://www.linkedin.com/learning/boosting-your-team-s-productivity?trk=ondemandfile" TargetMode="External"/><Relationship Id="rId482" Type="http://schemas.openxmlformats.org/officeDocument/2006/relationships/hyperlink" Target="https://www.linkedin.com/learning/job-interview-tips-for-marketing-managers?trk=ondemandfile" TargetMode="External"/><Relationship Id="rId2164" Type="http://schemas.openxmlformats.org/officeDocument/2006/relationships/hyperlink" Target="https://www.linkedin.com/learning/the-upskilling-imperative-blinkist-summary?trk=ondemandfile" TargetMode="External"/><Relationship Id="rId481" Type="http://schemas.openxmlformats.org/officeDocument/2006/relationships/hyperlink" Target="https://www.linkedin.com/learning/paths/become-a-public-relations-specialist?trk=ondemandfile" TargetMode="External"/><Relationship Id="rId2165" Type="http://schemas.openxmlformats.org/officeDocument/2006/relationships/hyperlink" Target="https://www.linkedin.com/learning/building-a-coaching-culture-improving-performance-through-timely-feedback?trk=ondemandfile" TargetMode="External"/><Relationship Id="rId488" Type="http://schemas.openxmlformats.org/officeDocument/2006/relationships/hyperlink" Target="https://www.linkedin.com/learning/seo-competitive-analysis?trk=ondemandfile" TargetMode="External"/><Relationship Id="rId2166" Type="http://schemas.openxmlformats.org/officeDocument/2006/relationships/hyperlink" Target="https://www.linkedin.com/learning/driving-workplace-happiness?trk=ondemandfile" TargetMode="External"/><Relationship Id="rId487" Type="http://schemas.openxmlformats.org/officeDocument/2006/relationships/hyperlink" Target="https://www.linkedin.com/learning/paths/become-a-marketing-manager?trk=ondemandfile" TargetMode="External"/><Relationship Id="rId2167" Type="http://schemas.openxmlformats.org/officeDocument/2006/relationships/hyperlink" Target="https://www.linkedin.com/learning/interviewing-t-echniques-2019?trk=ondemandfile" TargetMode="External"/><Relationship Id="rId486" Type="http://schemas.openxmlformats.org/officeDocument/2006/relationships/hyperlink" Target="https://www.linkedin.com/learning/integrated-marketing-communication-strategies?trk=ondemandfile" TargetMode="External"/><Relationship Id="rId2168" Type="http://schemas.openxmlformats.org/officeDocument/2006/relationships/hyperlink" Target="https://www.linkedin.com/learning/predictive-analytics-essential-training-for-executives?trk=ondemandfile" TargetMode="External"/><Relationship Id="rId485" Type="http://schemas.openxmlformats.org/officeDocument/2006/relationships/hyperlink" Target="https://www.linkedin.com/learning/paths/become-a-social-media-marketer?trk=ondemandfile" TargetMode="External"/><Relationship Id="rId2169" Type="http://schemas.openxmlformats.org/officeDocument/2006/relationships/hyperlink" Target="https://www.linkedin.com/learning/running-a-design-business-the-staffing-rule-book?trk=ondemandfile" TargetMode="External"/><Relationship Id="rId2159" Type="http://schemas.openxmlformats.org/officeDocument/2006/relationships/hyperlink" Target="https://www.linkedin.com/learning/hr-recruiting-communication-strategies-to-attract-and-retain-top-talent?trk=ondemandfile" TargetMode="External"/><Relationship Id="rId480" Type="http://schemas.openxmlformats.org/officeDocument/2006/relationships/hyperlink" Target="https://www.linkedin.com/learning/social-media-marketing-tips-8570680?trk=ondemandfile" TargetMode="External"/><Relationship Id="rId479" Type="http://schemas.openxmlformats.org/officeDocument/2006/relationships/hyperlink" Target="https://www.linkedin.com/learning/paths/become-an-online-marketing-manager?trk=ondemandfile" TargetMode="External"/><Relationship Id="rId478" Type="http://schemas.openxmlformats.org/officeDocument/2006/relationships/hyperlink" Target="https://www.linkedin.com/learning/marketing-tools-growth-marketing?trk=ondemandfile" TargetMode="External"/><Relationship Id="rId2150" Type="http://schemas.openxmlformats.org/officeDocument/2006/relationships/hyperlink" Target="https://www.linkedin.com/learning/managing-virtual-teams-2019?trk=ondemandfile" TargetMode="External"/><Relationship Id="rId473" Type="http://schemas.openxmlformats.org/officeDocument/2006/relationships/hyperlink" Target="https://www.linkedin.com/learning/paths/become-a-digital-marketer?trk=ondemandfile" TargetMode="External"/><Relationship Id="rId2151" Type="http://schemas.openxmlformats.org/officeDocument/2006/relationships/hyperlink" Target="https://www.linkedin.com/learning/motivating-and-engaging-employees-2?trk=ondemandfile" TargetMode="External"/><Relationship Id="rId472" Type="http://schemas.openxmlformats.org/officeDocument/2006/relationships/hyperlink" Target="https://www.linkedin.com/learning/brand-leadership-building-brand-and-culture?trk=ondemandfile" TargetMode="External"/><Relationship Id="rId2152" Type="http://schemas.openxmlformats.org/officeDocument/2006/relationships/hyperlink" Target="https://www.linkedin.com/learning/delegating-tasks?trk=ondemandfile" TargetMode="External"/><Relationship Id="rId471" Type="http://schemas.openxmlformats.org/officeDocument/2006/relationships/hyperlink" Target="https://www.linkedin.com/learning/paths/become-a-digital-marketing-specialist?trk=ondemandfile" TargetMode="External"/><Relationship Id="rId2153" Type="http://schemas.openxmlformats.org/officeDocument/2006/relationships/hyperlink" Target="https://www.linkedin.com/learning/using-feedback-to-drive-performance?trk=ondemandfile" TargetMode="External"/><Relationship Id="rId470" Type="http://schemas.openxmlformats.org/officeDocument/2006/relationships/hyperlink" Target="https://www.linkedin.com/learning/blue-ocean-shift?trk=ondemandfile" TargetMode="External"/><Relationship Id="rId2154" Type="http://schemas.openxmlformats.org/officeDocument/2006/relationships/hyperlink" Target="https://www.linkedin.com/learning/performance-management-employee-engagement?trk=ondemandfile" TargetMode="External"/><Relationship Id="rId477" Type="http://schemas.openxmlformats.org/officeDocument/2006/relationships/hyperlink" Target="https://www.linkedin.com/learning/paths/become-a-marketing-specialist-2?trk=ondemandfile" TargetMode="External"/><Relationship Id="rId2155" Type="http://schemas.openxmlformats.org/officeDocument/2006/relationships/hyperlink" Target="https://www.linkedin.com/learning/managing-for-results-2020?trk=ondemandfile" TargetMode="External"/><Relationship Id="rId476" Type="http://schemas.openxmlformats.org/officeDocument/2006/relationships/hyperlink" Target="https://www.linkedin.com/learning/seo-link-building?trk=ondemandfile" TargetMode="External"/><Relationship Id="rId2156" Type="http://schemas.openxmlformats.org/officeDocument/2006/relationships/hyperlink" Target="https://www.linkedin.com/learning/coaching-employees-through-difficult-situations?trk=ondemandfile" TargetMode="External"/><Relationship Id="rId475" Type="http://schemas.openxmlformats.org/officeDocument/2006/relationships/hyperlink" Target="https://www.linkedin.com/learning/paths/become-a-marketing-coordinator?trk=ondemandfile" TargetMode="External"/><Relationship Id="rId2157" Type="http://schemas.openxmlformats.org/officeDocument/2006/relationships/hyperlink" Target="https://www.linkedin.com/learning/coaching-for-results?trk=ondemandfile" TargetMode="External"/><Relationship Id="rId474" Type="http://schemas.openxmlformats.org/officeDocument/2006/relationships/hyperlink" Target="https://www.linkedin.com/learning/leading-a-marketing-team?trk=ondemandfile" TargetMode="External"/><Relationship Id="rId2158" Type="http://schemas.openxmlformats.org/officeDocument/2006/relationships/hyperlink" Target="https://www.linkedin.com/learning/managing-employee-performance-problems-2018?trk=ondemandfile" TargetMode="External"/><Relationship Id="rId1257" Type="http://schemas.openxmlformats.org/officeDocument/2006/relationships/hyperlink" Target="https://www.linkedin.com/learning/machine-learning-ai-foundations-predictive-modeling-strategy-at-scale?trk=ondemandfile" TargetMode="External"/><Relationship Id="rId2104" Type="http://schemas.openxmlformats.org/officeDocument/2006/relationships/hyperlink" Target="https://www.linkedin.com/learning/using-neuroscience-for-more-effective-l-d?trk=ondemandfile" TargetMode="External"/><Relationship Id="rId2588" Type="http://schemas.openxmlformats.org/officeDocument/2006/relationships/hyperlink" Target="https://www.linkedin.com/learning/leading-projects?trk=ondemandfile" TargetMode="External"/><Relationship Id="rId1258" Type="http://schemas.openxmlformats.org/officeDocument/2006/relationships/hyperlink" Target="https://www.linkedin.com/learning/introducing-ai-to-your-organization?trk=ondemandfile" TargetMode="External"/><Relationship Id="rId2105" Type="http://schemas.openxmlformats.org/officeDocument/2006/relationships/hyperlink" Target="https://www.linkedin.com/learning/using-assessments-to-hire-customer-service-reps?trk=ondemandfile" TargetMode="External"/><Relationship Id="rId2589" Type="http://schemas.openxmlformats.org/officeDocument/2006/relationships/hyperlink" Target="https://www.linkedin.com/learning/how-leaders-can-motivate-by-creating-meaning?trk=ondemandfile" TargetMode="External"/><Relationship Id="rId1259" Type="http://schemas.openxmlformats.org/officeDocument/2006/relationships/hyperlink" Target="https://www.linkedin.com/learning/succeeding-in-web-development-full-stack-and-front-end?trk=ondemandfile" TargetMode="External"/><Relationship Id="rId2106" Type="http://schemas.openxmlformats.org/officeDocument/2006/relationships/hyperlink" Target="https://www.linkedin.com/learning/women-transforming-tech-tips-for-career-success?trk=ondemandfile" TargetMode="External"/><Relationship Id="rId2107" Type="http://schemas.openxmlformats.org/officeDocument/2006/relationships/hyperlink" Target="https://www.linkedin.com/learning/foundations-of-corporate-training?trk=ondemandfile" TargetMode="External"/><Relationship Id="rId2108" Type="http://schemas.openxmlformats.org/officeDocument/2006/relationships/hyperlink" Target="https://www.linkedin.com/learning/women-transforming-tech-finding-a-mentor?trk=ondemandfile" TargetMode="External"/><Relationship Id="rId2109" Type="http://schemas.openxmlformats.org/officeDocument/2006/relationships/hyperlink" Target="https://www.linkedin.com/learning/women-transforming-tech-breaking-in-and-staying-in-the-industry?trk=ondemandfile" TargetMode="External"/><Relationship Id="rId426" Type="http://schemas.openxmlformats.org/officeDocument/2006/relationships/hyperlink" Target="https://www.linkedin.com/learning/paths/improve-your-teamwork-skills?trk=ondemandfile" TargetMode="External"/><Relationship Id="rId425" Type="http://schemas.openxmlformats.org/officeDocument/2006/relationships/hyperlink" Target="https://www.linkedin.com/learning/the-hard-thing-about-hard-things?trk=ondemandfile" TargetMode="External"/><Relationship Id="rId424" Type="http://schemas.openxmlformats.org/officeDocument/2006/relationships/hyperlink" Target="https://www.linkedin.com/learning/paths/develop-conflict-management-and-resolution-skills?trk=ondemandfile" TargetMode="External"/><Relationship Id="rId423" Type="http://schemas.openxmlformats.org/officeDocument/2006/relationships/hyperlink" Target="https://www.linkedin.com/learning/managing-in-difficult-times?trk=ondemandfile" TargetMode="External"/><Relationship Id="rId429" Type="http://schemas.openxmlformats.org/officeDocument/2006/relationships/hyperlink" Target="https://www.linkedin.com/learning/crisis-communication?trk=ondemandfile" TargetMode="External"/><Relationship Id="rId428" Type="http://schemas.openxmlformats.org/officeDocument/2006/relationships/hyperlink" Target="https://www.linkedin.com/learning/paths/master-in-demand-professional-soft-skills?trk=ondemandfile" TargetMode="External"/><Relationship Id="rId427" Type="http://schemas.openxmlformats.org/officeDocument/2006/relationships/hyperlink" Target="https://www.linkedin.com/learning/managing-conflict-a-practical-guide-to-resolution-in-the-workplace-getabstract-summary?trk=ondemandfile" TargetMode="External"/><Relationship Id="rId2580" Type="http://schemas.openxmlformats.org/officeDocument/2006/relationships/hyperlink" Target="https://www.linkedin.com/learning/just-ask-todd-dewett-2020?trk=ondemandfile" TargetMode="External"/><Relationship Id="rId1250" Type="http://schemas.openxmlformats.org/officeDocument/2006/relationships/hyperlink" Target="https://www.linkedin.com/learning/learning-system-center-configuration-manager-2?trk=ondemandfile" TargetMode="External"/><Relationship Id="rId2581" Type="http://schemas.openxmlformats.org/officeDocument/2006/relationships/hyperlink" Target="https://www.linkedin.com/learning/demonstrating-accountability-as-a-leader?trk=ondemandfile" TargetMode="External"/><Relationship Id="rId1251" Type="http://schemas.openxmlformats.org/officeDocument/2006/relationships/hyperlink" Target="https://www.linkedin.com/learning/learning-java-applications-2?trk=ondemandfile" TargetMode="External"/><Relationship Id="rId2582" Type="http://schemas.openxmlformats.org/officeDocument/2006/relationships/hyperlink" Target="https://www.linkedin.com/learning/leading-with-kindness-and-strength?trk=ondemandfile" TargetMode="External"/><Relationship Id="rId1252" Type="http://schemas.openxmlformats.org/officeDocument/2006/relationships/hyperlink" Target="https://www.linkedin.com/learning/test-automation-foundations?trk=ondemandfile" TargetMode="External"/><Relationship Id="rId2583" Type="http://schemas.openxmlformats.org/officeDocument/2006/relationships/hyperlink" Target="https://www.linkedin.com/learning/building-your-visibility-as-a-leader?trk=ondemandfile" TargetMode="External"/><Relationship Id="rId422" Type="http://schemas.openxmlformats.org/officeDocument/2006/relationships/hyperlink" Target="https://www.linkedin.com/learning/learning-to-say-no-with-confidence-and-grace?trk=ondemandfile" TargetMode="External"/><Relationship Id="rId1253" Type="http://schemas.openxmlformats.org/officeDocument/2006/relationships/hyperlink" Target="https://www.linkedin.com/learning/introducing-robotic-process-automation?trk=ondemandfile" TargetMode="External"/><Relationship Id="rId2100" Type="http://schemas.openxmlformats.org/officeDocument/2006/relationships/hyperlink" Target="https://www.linkedin.com/learning/connecting-to-executives-2018?trk=ondemandfile" TargetMode="External"/><Relationship Id="rId2584" Type="http://schemas.openxmlformats.org/officeDocument/2006/relationships/hyperlink" Target="https://www.linkedin.com/learning/leadership-mindsets?trk=ondemandfile" TargetMode="External"/><Relationship Id="rId421" Type="http://schemas.openxmlformats.org/officeDocument/2006/relationships/hyperlink" Target="https://www.linkedin.com/learning/unlocking-authentic-communication-in-a-culturally-diverse-workplace?trk=ondemandfile" TargetMode="External"/><Relationship Id="rId1254" Type="http://schemas.openxmlformats.org/officeDocument/2006/relationships/hyperlink" Target="https://www.linkedin.com/learning/aws-administration-tips-and-tricks?trk=ondemandfile" TargetMode="External"/><Relationship Id="rId2101" Type="http://schemas.openxmlformats.org/officeDocument/2006/relationships/hyperlink" Target="https://www.linkedin.com/learning/building-and-fostering-a-great-sales-culture?trk=ondemandfile" TargetMode="External"/><Relationship Id="rId2585" Type="http://schemas.openxmlformats.org/officeDocument/2006/relationships/hyperlink" Target="https://www.linkedin.com/learning/leading-in-uncertain-times?trk=ondemandfile" TargetMode="External"/><Relationship Id="rId420" Type="http://schemas.openxmlformats.org/officeDocument/2006/relationships/hyperlink" Target="https://www.linkedin.com/learning/communicating-across-cultures-virtually?trk=ondemandfile" TargetMode="External"/><Relationship Id="rId1255" Type="http://schemas.openxmlformats.org/officeDocument/2006/relationships/hyperlink" Target="https://www.linkedin.com/learning/applied-machine-learning-algorithms?trk=ondemandfile" TargetMode="External"/><Relationship Id="rId2102" Type="http://schemas.openxmlformats.org/officeDocument/2006/relationships/hyperlink" Target="https://www.linkedin.com/learning/make-the-move-from-individual-contributor-to-manager?trk=ondemandfile" TargetMode="External"/><Relationship Id="rId2586" Type="http://schemas.openxmlformats.org/officeDocument/2006/relationships/hyperlink" Target="https://www.linkedin.com/learning/fostering-belonging-as-a-leader?trk=ondemandfile" TargetMode="External"/><Relationship Id="rId1256" Type="http://schemas.openxmlformats.org/officeDocument/2006/relationships/hyperlink" Target="https://www.linkedin.com/learning/machine-learning-in-mobile-applications?trk=ondemandfile" TargetMode="External"/><Relationship Id="rId2103" Type="http://schemas.openxmlformats.org/officeDocument/2006/relationships/hyperlink" Target="https://www.linkedin.com/learning/become-a-better-coach-for-your-team?trk=ondemandfile" TargetMode="External"/><Relationship Id="rId2587" Type="http://schemas.openxmlformats.org/officeDocument/2006/relationships/hyperlink" Target="https://www.linkedin.com/learning/leadership-skills-for-the-future?trk=ondemandfile" TargetMode="External"/><Relationship Id="rId1246" Type="http://schemas.openxmlformats.org/officeDocument/2006/relationships/hyperlink" Target="https://www.linkedin.com/learning/sap-business-one-production-and-logistics?trk=ondemandfile" TargetMode="External"/><Relationship Id="rId2577" Type="http://schemas.openxmlformats.org/officeDocument/2006/relationships/hyperlink" Target="https://www.linkedin.com/learning/project-leadership?trk=ondemandfile" TargetMode="External"/><Relationship Id="rId1247" Type="http://schemas.openxmlformats.org/officeDocument/2006/relationships/hyperlink" Target="https://www.linkedin.com/learning/craft-a-great-github-profile?trk=ondemandfile" TargetMode="External"/><Relationship Id="rId2578" Type="http://schemas.openxmlformats.org/officeDocument/2006/relationships/hyperlink" Target="https://www.linkedin.com/learning/inspirational-leadership-skills-practical-motivational-leadership?trk=ondemandfile" TargetMode="External"/><Relationship Id="rId1248" Type="http://schemas.openxmlformats.org/officeDocument/2006/relationships/hyperlink" Target="https://www.linkedin.com/learning/planning-basics-in-sap?trk=ondemandfile" TargetMode="External"/><Relationship Id="rId2579" Type="http://schemas.openxmlformats.org/officeDocument/2006/relationships/hyperlink" Target="https://www.linkedin.com/learning/preparing-to-lead-developing-mental-toughness-in-yourself?trk=ondemandfile" TargetMode="External"/><Relationship Id="rId1249" Type="http://schemas.openxmlformats.org/officeDocument/2006/relationships/hyperlink" Target="https://www.linkedin.com/learning/understanding-augmented-and-virtual-reality-an-introduction?trk=ondemandfile" TargetMode="External"/><Relationship Id="rId415" Type="http://schemas.openxmlformats.org/officeDocument/2006/relationships/hyperlink" Target="https://www.linkedin.com/learning/how-to-stand-out-remotely?trk=ondemandfile" TargetMode="External"/><Relationship Id="rId899" Type="http://schemas.openxmlformats.org/officeDocument/2006/relationships/hyperlink" Target="https://www.linkedin.com/learning/business-analyst-digital-transformation?trk=ondemandfile" TargetMode="External"/><Relationship Id="rId414" Type="http://schemas.openxmlformats.org/officeDocument/2006/relationships/hyperlink" Target="https://www.linkedin.com/learning/writing-and-delivering-speeches?trk=ondemandfile" TargetMode="External"/><Relationship Id="rId898" Type="http://schemas.openxmlformats.org/officeDocument/2006/relationships/hyperlink" Target="https://www.linkedin.com/learning/data-visualization-for-data-analysis-and-analytics?trk=ondemandfile" TargetMode="External"/><Relationship Id="rId413" Type="http://schemas.openxmlformats.org/officeDocument/2006/relationships/hyperlink" Target="https://www.linkedin.com/learning/the-10-essentials-of-influence-and-persuasion?trk=ondemandfile" TargetMode="External"/><Relationship Id="rId897" Type="http://schemas.openxmlformats.org/officeDocument/2006/relationships/hyperlink" Target="https://www.linkedin.com/learning/postgresql-essential-training?trk=ondemandfile" TargetMode="External"/><Relationship Id="rId412" Type="http://schemas.openxmlformats.org/officeDocument/2006/relationships/hyperlink" Target="https://www.linkedin.com/learning/backgrounder-netiquette?trk=ondemandfile" TargetMode="External"/><Relationship Id="rId896" Type="http://schemas.openxmlformats.org/officeDocument/2006/relationships/hyperlink" Target="https://www.linkedin.com/learning/side-hustle-strategies-for-data-science-and-analytics-experts?trk=ondemandfile" TargetMode="External"/><Relationship Id="rId419" Type="http://schemas.openxmlformats.org/officeDocument/2006/relationships/hyperlink" Target="https://www.linkedin.com/learning/influencing-others?trk=ondemandfile" TargetMode="External"/><Relationship Id="rId418" Type="http://schemas.openxmlformats.org/officeDocument/2006/relationships/hyperlink" Target="https://www.linkedin.com/learning/effective-listening?trk=ondemandfile" TargetMode="External"/><Relationship Id="rId417" Type="http://schemas.openxmlformats.org/officeDocument/2006/relationships/hyperlink" Target="https://www.linkedin.com/learning/building-a-more-authentic-workplace?trk=ondemandfile" TargetMode="External"/><Relationship Id="rId416" Type="http://schemas.openxmlformats.org/officeDocument/2006/relationships/hyperlink" Target="https://www.linkedin.com/learning/communicating-with-emotional-intelligence?trk=ondemandfile" TargetMode="External"/><Relationship Id="rId891" Type="http://schemas.openxmlformats.org/officeDocument/2006/relationships/hyperlink" Target="https://www.linkedin.com/learning/review-and-manage-the-sap-mrp-list?trk=ondemandfile" TargetMode="External"/><Relationship Id="rId890" Type="http://schemas.openxmlformats.org/officeDocument/2006/relationships/hyperlink" Target="https://www.linkedin.com/learning/abap-for-sap-users?trk=ondemandfile" TargetMode="External"/><Relationship Id="rId2570" Type="http://schemas.openxmlformats.org/officeDocument/2006/relationships/hyperlink" Target="https://www.linkedin.com/learning/leading-with-empathy?trk=ondemandfile" TargetMode="External"/><Relationship Id="rId1240" Type="http://schemas.openxmlformats.org/officeDocument/2006/relationships/hyperlink" Target="https://www.linkedin.com/learning/paths/succeed-as-a-remote-it-administrator?trk=ondemandfile" TargetMode="External"/><Relationship Id="rId2571" Type="http://schemas.openxmlformats.org/officeDocument/2006/relationships/hyperlink" Target="https://www.linkedin.com/learning/leadership-presence-in-action?trk=contentmappingfile" TargetMode="External"/><Relationship Id="rId1241" Type="http://schemas.openxmlformats.org/officeDocument/2006/relationships/hyperlink" Target="https://www.linkedin.com/learning/crisc-cert-prep-1-it-risk-identification?trk=ondemandfile" TargetMode="External"/><Relationship Id="rId2572" Type="http://schemas.openxmlformats.org/officeDocument/2006/relationships/hyperlink" Target="https://www.linkedin.com/learning/mindful-leadership?trk=ondemandfile" TargetMode="External"/><Relationship Id="rId411" Type="http://schemas.openxmlformats.org/officeDocument/2006/relationships/hyperlink" Target="https://www.linkedin.com/learning/managing-your-emotions-at-work?trk=ondemandfile" TargetMode="External"/><Relationship Id="rId895" Type="http://schemas.openxmlformats.org/officeDocument/2006/relationships/hyperlink" Target="https://www.linkedin.com/learning/the-data-science-of-experimental-design?trk=ondemandfile" TargetMode="External"/><Relationship Id="rId1242" Type="http://schemas.openxmlformats.org/officeDocument/2006/relationships/hyperlink" Target="https://www.linkedin.com/learning/paths/succeed-as-a-remote-software-developer?trk=ondemandfile" TargetMode="External"/><Relationship Id="rId2573" Type="http://schemas.openxmlformats.org/officeDocument/2006/relationships/hyperlink" Target="https://www.linkedin.com/learning/leading-remote-projects-and-virtual-teams?trk=ondemandfile" TargetMode="External"/><Relationship Id="rId410" Type="http://schemas.openxmlformats.org/officeDocument/2006/relationships/hyperlink" Target="https://www.linkedin.com/learning/having-powerful-advanced-conversations?trk=ondemandfile" TargetMode="External"/><Relationship Id="rId894" Type="http://schemas.openxmlformats.org/officeDocument/2006/relationships/hyperlink" Target="https://www.linkedin.com/learning/excel-avoiding-common-mistakes-office-365-excel-2019?trk=ondemandfile" TargetMode="External"/><Relationship Id="rId1243" Type="http://schemas.openxmlformats.org/officeDocument/2006/relationships/hyperlink" Target="https://www.linkedin.com/learning/scrollytelling-creating-a-one-page-web-experience?trk=ondemandfile" TargetMode="External"/><Relationship Id="rId2574" Type="http://schemas.openxmlformats.org/officeDocument/2006/relationships/hyperlink" Target="https://www.linkedin.com/learning/becoming-an-impactful-and-influential-leader?trk=ondemandfile" TargetMode="External"/><Relationship Id="rId893" Type="http://schemas.openxmlformats.org/officeDocument/2006/relationships/hyperlink" Target="https://www.linkedin.com/learning/ai-in-fintech-essential-training?trk=ondemandfile" TargetMode="External"/><Relationship Id="rId1244" Type="http://schemas.openxmlformats.org/officeDocument/2006/relationships/hyperlink" Target="https://www.linkedin.com/learning/paths/working-smarter-with-microsoft-365?trk=ondemandfile" TargetMode="External"/><Relationship Id="rId2575" Type="http://schemas.openxmlformats.org/officeDocument/2006/relationships/hyperlink" Target="https://www.linkedin.com/learning/become-a-courageous-female-leader?trk=ondemandfile" TargetMode="External"/><Relationship Id="rId892" Type="http://schemas.openxmlformats.org/officeDocument/2006/relationships/hyperlink" Target="https://www.linkedin.com/learning/ai-in-business-essential-training?trk=ondemandfile" TargetMode="External"/><Relationship Id="rId1245" Type="http://schemas.openxmlformats.org/officeDocument/2006/relationships/hyperlink" Target="https://www.linkedin.com/learning/framing-cloud-discussions-for-the-c-suite?trk=ondemandfile" TargetMode="External"/><Relationship Id="rId2576" Type="http://schemas.openxmlformats.org/officeDocument/2006/relationships/hyperlink" Target="https://www.linkedin.com/learning/leadership-fundamentals?trk=ondemandfile" TargetMode="External"/><Relationship Id="rId1279" Type="http://schemas.openxmlformats.org/officeDocument/2006/relationships/hyperlink" Target="https://www.linkedin.com/learning/introduction-to-deep-learning-with-opencv?trk=ondemandfile" TargetMode="External"/><Relationship Id="rId2126" Type="http://schemas.openxmlformats.org/officeDocument/2006/relationships/hyperlink" Target="https://www.linkedin.com/learning/jeff-weiner-on-establishing-a-culture-and-a-plan-for-scaling?trk=ondemandfile" TargetMode="External"/><Relationship Id="rId2127" Type="http://schemas.openxmlformats.org/officeDocument/2006/relationships/hyperlink" Target="https://www.linkedin.com/learning/paths/advance-your-skills-as-a-manager?trk=ondemandfile" TargetMode="External"/><Relationship Id="rId2128" Type="http://schemas.openxmlformats.org/officeDocument/2006/relationships/hyperlink" Target="https://www.linkedin.com/learning/creating-a-positive-and-healthy-work-environment?trk=ondemandfile" TargetMode="External"/><Relationship Id="rId2129" Type="http://schemas.openxmlformats.org/officeDocument/2006/relationships/hyperlink" Target="https://www.linkedin.com/learning/paths/become-an-inclusive-leader?trk=ondemandfile" TargetMode="External"/><Relationship Id="rId448" Type="http://schemas.openxmlformats.org/officeDocument/2006/relationships/hyperlink" Target="https://www.linkedin.com/learning/conflict-resolution-foundations-2018?trk=ondemandfile" TargetMode="External"/><Relationship Id="rId447" Type="http://schemas.openxmlformats.org/officeDocument/2006/relationships/hyperlink" Target="https://www.linkedin.com/learning/communicating-with-empathy?trk=ondemandfile" TargetMode="External"/><Relationship Id="rId446" Type="http://schemas.openxmlformats.org/officeDocument/2006/relationships/hyperlink" Target="https://www.linkedin.com/learning/dealing-with-disappointment-in-your-role?trk=ondemandfile" TargetMode="External"/><Relationship Id="rId445" Type="http://schemas.openxmlformats.org/officeDocument/2006/relationships/hyperlink" Target="https://www.linkedin.com/learning/how-to-proactively-manage-conflict-as-an-employee?trk=ondemandfile" TargetMode="External"/><Relationship Id="rId449" Type="http://schemas.openxmlformats.org/officeDocument/2006/relationships/hyperlink" Target="https://www.linkedin.com/learning/dealing-with-difficult-people-in-your-office?trk=ondemandfile" TargetMode="External"/><Relationship Id="rId1270" Type="http://schemas.openxmlformats.org/officeDocument/2006/relationships/hyperlink" Target="https://www.linkedin.com/learning/learning-word-for-the-web-office-365-microsoft-365-2021?trk=ondemandfile" TargetMode="External"/><Relationship Id="rId440" Type="http://schemas.openxmlformats.org/officeDocument/2006/relationships/hyperlink" Target="https://www.linkedin.com/learning/having-difficult-conversations-a-guide-for-managers?trk=ondemandfile" TargetMode="External"/><Relationship Id="rId1271" Type="http://schemas.openxmlformats.org/officeDocument/2006/relationships/hyperlink" Target="https://www.linkedin.com/learning/buying-on-ariba-discovery?trk=ondemandfile" TargetMode="External"/><Relationship Id="rId1272" Type="http://schemas.openxmlformats.org/officeDocument/2006/relationships/hyperlink" Target="https://www.linkedin.com/learning/introduction-to-network-routing?trk=ondemandfile" TargetMode="External"/><Relationship Id="rId1273" Type="http://schemas.openxmlformats.org/officeDocument/2006/relationships/hyperlink" Target="https://www.linkedin.com/learning/first-5-things-you-have-to-do-to-start-a-business-as-a-creator?trk=ondemandfile" TargetMode="External"/><Relationship Id="rId2120" Type="http://schemas.openxmlformats.org/officeDocument/2006/relationships/hyperlink" Target="https://www.linkedin.com/learning/all-you-have-to-do-is-ask-how-to-ask-for-help-when-you-need-it?trk=ondemandfile" TargetMode="External"/><Relationship Id="rId1274" Type="http://schemas.openxmlformats.org/officeDocument/2006/relationships/hyperlink" Target="https://www.linkedin.com/learning/blockchain-basics-14414119?trk=contentmappingfile" TargetMode="External"/><Relationship Id="rId2121" Type="http://schemas.openxmlformats.org/officeDocument/2006/relationships/hyperlink" Target="https://www.linkedin.com/learning/how-to-succeed-in-a-case-study-interview?trk=ondemandfile" TargetMode="External"/><Relationship Id="rId444" Type="http://schemas.openxmlformats.org/officeDocument/2006/relationships/hyperlink" Target="https://www.linkedin.com/learning/how-to-resolve-conflicts?trk=ondemandfile" TargetMode="External"/><Relationship Id="rId1275" Type="http://schemas.openxmlformats.org/officeDocument/2006/relationships/hyperlink" Target="https://www.linkedin.com/learning/gmail-essential-training-2021?trk=ondemandfile" TargetMode="External"/><Relationship Id="rId2122" Type="http://schemas.openxmlformats.org/officeDocument/2006/relationships/hyperlink" Target="https://www.linkedin.com/learning/habits-for-success?trk=ondemandfile" TargetMode="External"/><Relationship Id="rId443" Type="http://schemas.openxmlformats.org/officeDocument/2006/relationships/hyperlink" Target="https://www.linkedin.com/learning/de-escalating-conversations-for-customer-service?trk=ondemandfile" TargetMode="External"/><Relationship Id="rId1276" Type="http://schemas.openxmlformats.org/officeDocument/2006/relationships/hyperlink" Target="https://www.linkedin.com/learning/agile-testing-2?trk=ondemandfile" TargetMode="External"/><Relationship Id="rId2123" Type="http://schemas.openxmlformats.org/officeDocument/2006/relationships/hyperlink" Target="https://www.linkedin.com/learning/getting-executive-buy-in-and-support-for-your-l-d-program?trk=ondemandfile" TargetMode="External"/><Relationship Id="rId442" Type="http://schemas.openxmlformats.org/officeDocument/2006/relationships/hyperlink" Target="https://www.linkedin.com/learning/dealing-with-microaggression-as-an-employee?trk=ondemandfile" TargetMode="External"/><Relationship Id="rId1277" Type="http://schemas.openxmlformats.org/officeDocument/2006/relationships/hyperlink" Target="https://www.linkedin.com/learning/applied-machine-learning-essential-training?trk=ondemandfile" TargetMode="External"/><Relationship Id="rId2124" Type="http://schemas.openxmlformats.org/officeDocument/2006/relationships/hyperlink" Target="https://www.linkedin.com/learning/enhancing-team-innovation?trk=ondemandfile" TargetMode="External"/><Relationship Id="rId441" Type="http://schemas.openxmlformats.org/officeDocument/2006/relationships/hyperlink" Target="https://www.linkedin.com/learning/radical-candor?trk=ondemandfile" TargetMode="External"/><Relationship Id="rId1278" Type="http://schemas.openxmlformats.org/officeDocument/2006/relationships/hyperlink" Target="https://www.linkedin.com/learning/building-recommender-systems-with-machine-learning-and-ai?trk=ondemandfile" TargetMode="External"/><Relationship Id="rId2125" Type="http://schemas.openxmlformats.org/officeDocument/2006/relationships/hyperlink" Target="https://www.linkedin.com/learning/building-a-coaching-culture-improving-performance-through-timely-feedback?trk=ondemandfile" TargetMode="External"/><Relationship Id="rId1268" Type="http://schemas.openxmlformats.org/officeDocument/2006/relationships/hyperlink" Target="https://www.linkedin.com/learning/learning-lucidchart?trk=ondemandfile" TargetMode="External"/><Relationship Id="rId2115" Type="http://schemas.openxmlformats.org/officeDocument/2006/relationships/hyperlink" Target="https://www.linkedin.com/learning/increase-visibility-to-advance-your-career?trk=ondemandfile" TargetMode="External"/><Relationship Id="rId1269" Type="http://schemas.openxmlformats.org/officeDocument/2006/relationships/hyperlink" Target="https://www.linkedin.com/learning/learning-powerpoint-for-the-web-office-365-microsoft-365-2021?trk=ondemandfile" TargetMode="External"/><Relationship Id="rId2116" Type="http://schemas.openxmlformats.org/officeDocument/2006/relationships/hyperlink" Target="https://www.linkedin.com/learning/giving-and-receiving-feedback?trk=ondemandfile" TargetMode="External"/><Relationship Id="rId2117" Type="http://schemas.openxmlformats.org/officeDocument/2006/relationships/hyperlink" Target="https://www.linkedin.com/learning/how-to-be-a-good-mentee?trk=ondemandfile" TargetMode="External"/><Relationship Id="rId2118" Type="http://schemas.openxmlformats.org/officeDocument/2006/relationships/hyperlink" Target="https://www.linkedin.com/learning/boosting-your-team-s-productivity?trk=ondemandfile" TargetMode="External"/><Relationship Id="rId2119" Type="http://schemas.openxmlformats.org/officeDocument/2006/relationships/hyperlink" Target="https://www.linkedin.com/learning/executive-coaching?trk=ondemandfile" TargetMode="External"/><Relationship Id="rId437" Type="http://schemas.openxmlformats.org/officeDocument/2006/relationships/hyperlink" Target="https://www.linkedin.com/learning/leading-through-relationships?trk=ondemandfile" TargetMode="External"/><Relationship Id="rId436" Type="http://schemas.openxmlformats.org/officeDocument/2006/relationships/hyperlink" Target="https://www.linkedin.com/learning/human-resources-managing-employee-problems?trk=ondemandfile" TargetMode="External"/><Relationship Id="rId435" Type="http://schemas.openxmlformats.org/officeDocument/2006/relationships/hyperlink" Target="https://www.linkedin.com/learning/facilitation-skills-for-managers-and-leaders?trk=ondemandfile" TargetMode="External"/><Relationship Id="rId434" Type="http://schemas.openxmlformats.org/officeDocument/2006/relationships/hyperlink" Target="https://www.linkedin.com/learning/get-momentum-how-to-start-when-you-re-stuck-getabstract-summary?trk=ondemandfile" TargetMode="External"/><Relationship Id="rId439" Type="http://schemas.openxmlformats.org/officeDocument/2006/relationships/hyperlink" Target="https://www.linkedin.com/learning/managing-team-conflict?trk=ondemandfile" TargetMode="External"/><Relationship Id="rId438" Type="http://schemas.openxmlformats.org/officeDocument/2006/relationships/hyperlink" Target="https://www.linkedin.com/learning/managing-employee-performance-problems-2018?trk=ondemandfile" TargetMode="External"/><Relationship Id="rId2590" Type="http://schemas.openxmlformats.org/officeDocument/2006/relationships/hyperlink" Target="https://www.linkedin.com/learning/leadership-strategies-for-women?trk=ondemandfile" TargetMode="External"/><Relationship Id="rId1260" Type="http://schemas.openxmlformats.org/officeDocument/2006/relationships/hyperlink" Target="https://www.linkedin.com/learning/software-development-life-cycle-sdlc?trk=ondemandfile" TargetMode="External"/><Relationship Id="rId2591" Type="http://schemas.openxmlformats.org/officeDocument/2006/relationships/hyperlink" Target="https://www.linkedin.com/learning/mastering-self-leadership?trk=ondemandfile" TargetMode="External"/><Relationship Id="rId1261" Type="http://schemas.openxmlformats.org/officeDocument/2006/relationships/hyperlink" Target="https://www.linkedin.com/learning/working-and-collaborating-online?trk=ondemandfile" TargetMode="External"/><Relationship Id="rId2592" Type="http://schemas.openxmlformats.org/officeDocument/2006/relationships/hyperlink" Target="https://www.linkedin.com/learning/listen-to-lead?trk=ondemandfile" TargetMode="External"/><Relationship Id="rId1262" Type="http://schemas.openxmlformats.org/officeDocument/2006/relationships/hyperlink" Target="https://www.linkedin.com/learning/working-with-computers-and-devices?trk=ondemandfile" TargetMode="External"/><Relationship Id="rId2593" Type="http://schemas.openxmlformats.org/officeDocument/2006/relationships/hyperlink" Target="https://www.linkedin.com/learning/leading-in-crisis?trk=ondemandfile" TargetMode="External"/><Relationship Id="rId1263" Type="http://schemas.openxmlformats.org/officeDocument/2006/relationships/hyperlink" Target="https://www.linkedin.com/learning/foundations-of-enterprise-content-management?trk=ondemandfile" TargetMode="External"/><Relationship Id="rId2110" Type="http://schemas.openxmlformats.org/officeDocument/2006/relationships/hyperlink" Target="https://www.linkedin.com/learning/effective-sponsorship-across-difference-for-proteges?trk=contentmappingfile" TargetMode="External"/><Relationship Id="rId2594" Type="http://schemas.openxmlformats.org/officeDocument/2006/relationships/hyperlink" Target="https://www.linkedin.com/learning/leadership-in-tech?trk=ondemandfile" TargetMode="External"/><Relationship Id="rId433" Type="http://schemas.openxmlformats.org/officeDocument/2006/relationships/hyperlink" Target="https://www.linkedin.com/learning/difficult-situations-solutions-for-managers?trk=ondemandfile" TargetMode="External"/><Relationship Id="rId1264" Type="http://schemas.openxmlformats.org/officeDocument/2006/relationships/hyperlink" Target="https://www.linkedin.com/learning/getting-started-with-live-streaming?trk=ondemandfile" TargetMode="External"/><Relationship Id="rId2111" Type="http://schemas.openxmlformats.org/officeDocument/2006/relationships/hyperlink" Target="https://www.linkedin.com/learning/becoming-an-inspiring-mentor?trk=ondemandfile" TargetMode="External"/><Relationship Id="rId2595" Type="http://schemas.openxmlformats.org/officeDocument/2006/relationships/drawing" Target="../drawings/drawing1.xml"/><Relationship Id="rId432" Type="http://schemas.openxmlformats.org/officeDocument/2006/relationships/hyperlink" Target="https://www.linkedin.com/learning/reputation-risk-management?trk=ondemandfile" TargetMode="External"/><Relationship Id="rId1265" Type="http://schemas.openxmlformats.org/officeDocument/2006/relationships/hyperlink" Target="https://www.linkedin.com/learning/excel-macros-and-vba-for-beginners?trk=ondemandfile" TargetMode="External"/><Relationship Id="rId2112" Type="http://schemas.openxmlformats.org/officeDocument/2006/relationships/hyperlink" Target="https://www.linkedin.com/learning/basketball-legend-bill-walton-thirty-minute-mentors?trk=ondemandfile" TargetMode="External"/><Relationship Id="rId431" Type="http://schemas.openxmlformats.org/officeDocument/2006/relationships/hyperlink" Target="https://www.linkedin.com/learning/communicating-in-times-of-change?trk=ondemandfile" TargetMode="External"/><Relationship Id="rId1266" Type="http://schemas.openxmlformats.org/officeDocument/2006/relationships/hyperlink" Target="https://www.linkedin.com/learning/excel-power-query-for-beginners?trk=ondemandfile" TargetMode="External"/><Relationship Id="rId2113" Type="http://schemas.openxmlformats.org/officeDocument/2006/relationships/hyperlink" Target="https://www.linkedin.com/learning/the-secrets-to-success-at-work?trk=ondemandfile" TargetMode="External"/><Relationship Id="rId430" Type="http://schemas.openxmlformats.org/officeDocument/2006/relationships/hyperlink" Target="https://www.linkedin.com/learning/paths/succeeding-in-sales-during-times-of-volatility?trk=ondemandfile" TargetMode="External"/><Relationship Id="rId1267" Type="http://schemas.openxmlformats.org/officeDocument/2006/relationships/hyperlink" Target="https://www.linkedin.com/learning/learning-cloud-computing-the-cloud-and-devops?trk=ondemandfile" TargetMode="External"/><Relationship Id="rId2114" Type="http://schemas.openxmlformats.org/officeDocument/2006/relationships/hyperlink" Target="https://www.linkedin.com/learning/recognizing-and-rewarding-your-workers?trk=ondemandfile"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linkedin.com/learning/data-strategy?trk=contentmappingfile" TargetMode="External"/><Relationship Id="rId2" Type="http://schemas.openxmlformats.org/officeDocument/2006/relationships/hyperlink" Target="https://www.linkedin.com/learning/paths/advance-your-data-science-skills-in-health-sciences?trk=ondemandfile" TargetMode="External"/><Relationship Id="rId3" Type="http://schemas.openxmlformats.org/officeDocument/2006/relationships/hyperlink" Target="https://www.linkedin.com/learning/reinforcement-learning-foundations?trk=ondemandfile" TargetMode="External"/><Relationship Id="rId4" Type="http://schemas.openxmlformats.org/officeDocument/2006/relationships/hyperlink" Target="https://www.linkedin.com/learning/paths/advance-your-skills-as-a-user-experience-researcher?trk=ondemandfile" TargetMode="External"/><Relationship Id="rId9" Type="http://schemas.openxmlformats.org/officeDocument/2006/relationships/hyperlink" Target="https://www.linkedin.com/learning/leading-teams-working-with-data-pitfalls-and-best-practices?trk=ondemandfile" TargetMode="External"/><Relationship Id="rId5" Type="http://schemas.openxmlformats.org/officeDocument/2006/relationships/hyperlink" Target="https://www.linkedin.com/learning/cmo-foundations-measuring-marketing-effectiveness-roi?trk=ondemandfile" TargetMode="External"/><Relationship Id="rId6" Type="http://schemas.openxmlformats.org/officeDocument/2006/relationships/hyperlink" Target="https://www.linkedin.com/learning/paths/advance-your-skills-in-predictive-analytics?trk=ondemandfile" TargetMode="External"/><Relationship Id="rId7" Type="http://schemas.openxmlformats.org/officeDocument/2006/relationships/hyperlink" Target="https://www.linkedin.com/learning/connecting-linkedin-learning-with-your-organization-s-systems-2021?trk=ondemandfile" TargetMode="External"/><Relationship Id="rId8" Type="http://schemas.openxmlformats.org/officeDocument/2006/relationships/hyperlink" Target="https://www.linkedin.com/learning/paths/become-an-ld-professional?trk=ondemandfile" TargetMode="External"/><Relationship Id="rId40" Type="http://schemas.openxmlformats.org/officeDocument/2006/relationships/hyperlink" Target="https://www.linkedin.com/learning/paths/improve-your-ux-design-skills?trk=ondemandfile" TargetMode="External"/><Relationship Id="rId42" Type="http://schemas.openxmlformats.org/officeDocument/2006/relationships/hyperlink" Target="https://www.linkedin.com/learning/paths/become-a-business-intelligence-specialist?trk=ondemandfile" TargetMode="External"/><Relationship Id="rId41" Type="http://schemas.openxmlformats.org/officeDocument/2006/relationships/hyperlink" Target="https://www.linkedin.com/learning/43526866-1304-3fba-8ab8-93dc593a5b24?trk=ondemandfile" TargetMode="External"/><Relationship Id="rId44" Type="http://schemas.openxmlformats.org/officeDocument/2006/relationships/hyperlink" Target="https://www.linkedin.com/learning/paths/managing-your-career-as-a-developer?trk=ondemandfile" TargetMode="External"/><Relationship Id="rId43" Type="http://schemas.openxmlformats.org/officeDocument/2006/relationships/hyperlink" Target="https://www.linkedin.com/learning/building-engaging-video-training-that-doesn-t-suck-the-how?trk=ondemandfile" TargetMode="External"/><Relationship Id="rId46" Type="http://schemas.openxmlformats.org/officeDocument/2006/relationships/hyperlink" Target="https://www.linkedin.com/learning/paths/develop-your-data-analysis-skills?trk=ondemandfile" TargetMode="External"/><Relationship Id="rId45" Type="http://schemas.openxmlformats.org/officeDocument/2006/relationships/hyperlink" Target="https://www.linkedin.com/learning/people-analytics?trk=ondemandfile" TargetMode="External"/><Relationship Id="rId48" Type="http://schemas.openxmlformats.org/officeDocument/2006/relationships/hyperlink" Target="https://www.linkedin.com/learning/paths/stay-competitive-using-design-thinking?trk=ondemandfile" TargetMode="External"/><Relationship Id="rId47" Type="http://schemas.openxmlformats.org/officeDocument/2006/relationships/hyperlink" Target="https://www.linkedin.com/learning/building-engaging-video-training-that-doesn-t-suck-the-why?trk=ondemandfile" TargetMode="External"/><Relationship Id="rId49" Type="http://schemas.openxmlformats.org/officeDocument/2006/relationships/hyperlink" Target="https://www.linkedin.com/learning/apache-flink-exploratory-data-analytics-with-sql?trk=ondemandfile" TargetMode="External"/><Relationship Id="rId31" Type="http://schemas.openxmlformats.org/officeDocument/2006/relationships/hyperlink" Target="https://www.linkedin.com/learning/graphic-design-careers-first-steps-2?trk=ondemandfile" TargetMode="External"/><Relationship Id="rId30" Type="http://schemas.openxmlformats.org/officeDocument/2006/relationships/hyperlink" Target="https://www.linkedin.com/learning/paths/become-a-data-analytics-specialist?trk=ondemandfile" TargetMode="External"/><Relationship Id="rId33" Type="http://schemas.openxmlformats.org/officeDocument/2006/relationships/hyperlink" Target="https://www.linkedin.com/learning/excel-vba-managing-files-and-data-2?trk=ondemandfile" TargetMode="External"/><Relationship Id="rId32" Type="http://schemas.openxmlformats.org/officeDocument/2006/relationships/hyperlink" Target="https://www.linkedin.com/learning/paths/create-linkedin-mobile-videos?trk=ondemandfile" TargetMode="External"/><Relationship Id="rId35" Type="http://schemas.openxmlformats.org/officeDocument/2006/relationships/hyperlink" Target="https://www.linkedin.com/learning/building-a-creative-online-community?trk=ondemandfile" TargetMode="External"/><Relationship Id="rId34" Type="http://schemas.openxmlformats.org/officeDocument/2006/relationships/hyperlink" Target="https://www.linkedin.com/learning/paths/become-a-data-scientist?trk=ondemandfile" TargetMode="External"/><Relationship Id="rId37" Type="http://schemas.openxmlformats.org/officeDocument/2006/relationships/hyperlink" Target="https://www.linkedin.com/learning/business-analytics-deep-dive-forecasting-with-exponential-smoothing?trk=ondemandfile" TargetMode="External"/><Relationship Id="rId36" Type="http://schemas.openxmlformats.org/officeDocument/2006/relationships/hyperlink" Target="https://www.linkedin.com/learning/paths/develop-your-course-design-and-instructional-skills?trk=ondemandfile" TargetMode="External"/><Relationship Id="rId39" Type="http://schemas.openxmlformats.org/officeDocument/2006/relationships/hyperlink" Target="https://www.linkedin.com/learning/learning-impact-the-importance-of-storytelling?trk=ondemandfile" TargetMode="External"/><Relationship Id="rId38" Type="http://schemas.openxmlformats.org/officeDocument/2006/relationships/hyperlink" Target="https://www.linkedin.com/learning/paths/build-essential-data-skills?trk=ondemandfile" TargetMode="External"/><Relationship Id="rId20" Type="http://schemas.openxmlformats.org/officeDocument/2006/relationships/hyperlink" Target="https://www.linkedin.com/learning/paths/become-an-online-instructor?trk=ondemandfile" TargetMode="External"/><Relationship Id="rId22" Type="http://schemas.openxmlformats.org/officeDocument/2006/relationships/hyperlink" Target="https://www.linkedin.com/learning/paths/become-a-data-visualization-specialist-concepts?trk=ondemandfile" TargetMode="External"/><Relationship Id="rId21" Type="http://schemas.openxmlformats.org/officeDocument/2006/relationships/hyperlink" Target="https://www.linkedin.com/learning/data-visualization-best-practices-14429760?trk=contentmappingfile" TargetMode="External"/><Relationship Id="rId24" Type="http://schemas.openxmlformats.org/officeDocument/2006/relationships/hyperlink" Target="https://www.linkedin.com/learning/paths/become-a-user-experience-designer?trk=ondemandfile" TargetMode="External"/><Relationship Id="rId23" Type="http://schemas.openxmlformats.org/officeDocument/2006/relationships/hyperlink" Target="https://www.linkedin.com/learning/learning-articulate-rise?trk=ondemandfile" TargetMode="External"/><Relationship Id="rId26" Type="http://schemas.openxmlformats.org/officeDocument/2006/relationships/hyperlink" Target="https://www.linkedin.com/learning/paths/become-a-data-visualization-specialist-tools?trk=ondemandfile" TargetMode="External"/><Relationship Id="rId25" Type="http://schemas.openxmlformats.org/officeDocument/2006/relationships/hyperlink" Target="https://www.linkedin.com/learning/15-mistakes-to-avoid-in-data-science?trk=ondemandfile" TargetMode="External"/><Relationship Id="rId28" Type="http://schemas.openxmlformats.org/officeDocument/2006/relationships/hyperlink" Target="https://www.linkedin.com/learning/paths/build-your-own-professional-training?trk=ondemandfile" TargetMode="External"/><Relationship Id="rId27" Type="http://schemas.openxmlformats.org/officeDocument/2006/relationships/hyperlink" Target="https://www.linkedin.com/learning/instructional-design-essentials-models-of-id-2?trk=ondemandfile" TargetMode="External"/><Relationship Id="rId29" Type="http://schemas.openxmlformats.org/officeDocument/2006/relationships/hyperlink" Target="https://www.linkedin.com/learning/lessons-from-data-scientists?trk=ondemandfile" TargetMode="External"/><Relationship Id="rId11" Type="http://schemas.openxmlformats.org/officeDocument/2006/relationships/hyperlink" Target="https://www.linkedin.com/learning/camtasia-essential-training-advanced-techniques?trk=ondemandfile" TargetMode="External"/><Relationship Id="rId10" Type="http://schemas.openxmlformats.org/officeDocument/2006/relationships/hyperlink" Target="https://www.linkedin.com/learning/paths/become-a-business-analyst?trk=ondemandfile" TargetMode="External"/><Relationship Id="rId13" Type="http://schemas.openxmlformats.org/officeDocument/2006/relationships/hyperlink" Target="https://www.linkedin.com/learning/measuring-business-performance-2021?trk=ondemandfile" TargetMode="External"/><Relationship Id="rId12" Type="http://schemas.openxmlformats.org/officeDocument/2006/relationships/hyperlink" Target="https://www.linkedin.com/learning/paths/become-an-instructional-designer?trk=ondemandfile" TargetMode="External"/><Relationship Id="rId15" Type="http://schemas.openxmlformats.org/officeDocument/2006/relationships/hyperlink" Target="https://www.linkedin.com/learning/creating-inclusive-learning-experiences?trk=ondemandfile" TargetMode="External"/><Relationship Id="rId14" Type="http://schemas.openxmlformats.org/officeDocument/2006/relationships/hyperlink" Target="https://www.linkedin.com/learning/paths/become-a-business-analytics-expert?trk=ondemandfile" TargetMode="External"/><Relationship Id="rId17" Type="http://schemas.openxmlformats.org/officeDocument/2006/relationships/hyperlink" Target="https://www.linkedin.com/learning/learning-data-governance-14224082?trk=ondemandfile" TargetMode="External"/><Relationship Id="rId16" Type="http://schemas.openxmlformats.org/officeDocument/2006/relationships/hyperlink" Target="https://www.linkedin.com/learning/paths/become-an-instructional-developer?trk=ondemandfile" TargetMode="External"/><Relationship Id="rId19" Type="http://schemas.openxmlformats.org/officeDocument/2006/relationships/hyperlink" Target="https://www.linkedin.com/learning/corporate-instruction-foundations?trk=ondemandfile" TargetMode="External"/><Relationship Id="rId18" Type="http://schemas.openxmlformats.org/officeDocument/2006/relationships/hyperlink" Target="https://www.linkedin.com/learning/paths/become-a-data-analyst?trk=ondemandfile" TargetMode="External"/><Relationship Id="rId84" Type="http://schemas.openxmlformats.org/officeDocument/2006/relationships/hyperlink" Target="https://www.linkedin.com/learning/power-bi-dashboards-for-beginners?trk=ondemandfile" TargetMode="External"/><Relationship Id="rId83" Type="http://schemas.openxmlformats.org/officeDocument/2006/relationships/hyperlink" Target="https://www.linkedin.com/learning/articulate-360-interactive-learning?trk=ondemandfile" TargetMode="External"/><Relationship Id="rId86" Type="http://schemas.openxmlformats.org/officeDocument/2006/relationships/hyperlink" Target="https://www.linkedin.com/learning/15-tips-for-landing-a-data-science-job?trk=ondemandfile" TargetMode="External"/><Relationship Id="rId85" Type="http://schemas.openxmlformats.org/officeDocument/2006/relationships/hyperlink" Target="https://www.linkedin.com/learning/gaining-internal-buy-in-for-elearning-training?trk=ondemandfile" TargetMode="External"/><Relationship Id="rId88" Type="http://schemas.openxmlformats.org/officeDocument/2006/relationships/hyperlink" Target="https://www.linkedin.com/learning/how-to-use-data-visualization-to-make-better-decisions-faster?trk=ondemandfile" TargetMode="External"/><Relationship Id="rId87" Type="http://schemas.openxmlformats.org/officeDocument/2006/relationships/hyperlink" Target="https://www.linkedin.com/learning/getting-executive-buy-in-and-support-for-your-l-d-program?trk=ondemandfile" TargetMode="External"/><Relationship Id="rId89" Type="http://schemas.openxmlformats.org/officeDocument/2006/relationships/hyperlink" Target="https://www.linkedin.com/learning/ux-deep-dive-remote-research?trk=ondemandfile" TargetMode="External"/><Relationship Id="rId80" Type="http://schemas.openxmlformats.org/officeDocument/2006/relationships/hyperlink" Target="https://www.linkedin.com/learning/business-analytics-sales-data?trk=ondemandfile" TargetMode="External"/><Relationship Id="rId82" Type="http://schemas.openxmlformats.org/officeDocument/2006/relationships/hyperlink" Target="https://www.linkedin.com/learning/ethics-and-law-in-data-analytics?trk=ondemandfile" TargetMode="External"/><Relationship Id="rId81" Type="http://schemas.openxmlformats.org/officeDocument/2006/relationships/hyperlink" Target="https://www.linkedin.com/learning/design-thinking-implementing-the-process?trk=ondemandfile" TargetMode="External"/><Relationship Id="rId73" Type="http://schemas.openxmlformats.org/officeDocument/2006/relationships/hyperlink" Target="https://www.linkedin.com/learning/getting-started-as-a-linkedin-learning-hub-admin?trk=ondemandfile" TargetMode="External"/><Relationship Id="rId72" Type="http://schemas.openxmlformats.org/officeDocument/2006/relationships/hyperlink" Target="https://www.linkedin.com/learning/introducing-ai-to-your-organization?trk=ondemandfile" TargetMode="External"/><Relationship Id="rId75" Type="http://schemas.openxmlformats.org/officeDocument/2006/relationships/hyperlink" Target="https://www.linkedin.com/learning/foundations-of-learning-management-systems-lms-2021?trk=ondemandfile" TargetMode="External"/><Relationship Id="rId74" Type="http://schemas.openxmlformats.org/officeDocument/2006/relationships/hyperlink" Target="https://www.linkedin.com/learning/sas-9-4-cert-prep-analyzing-and-reporting-on-data?trk=ondemandfile" TargetMode="External"/><Relationship Id="rId77" Type="http://schemas.openxmlformats.org/officeDocument/2006/relationships/hyperlink" Target="https://www.linkedin.com/learning/cert-prep-adobe-certified-associate-indesign-2?trk=ondemandfile" TargetMode="External"/><Relationship Id="rId76" Type="http://schemas.openxmlformats.org/officeDocument/2006/relationships/hyperlink" Target="https://www.linkedin.com/learning/introduction-to-business-analytics?trk=ondemandfile" TargetMode="External"/><Relationship Id="rId79" Type="http://schemas.openxmlformats.org/officeDocument/2006/relationships/hyperlink" Target="https://www.linkedin.com/learning/graphic-design-foundations-ideas-concepts-and-form?trk=ondemandfile" TargetMode="External"/><Relationship Id="rId78" Type="http://schemas.openxmlformats.org/officeDocument/2006/relationships/hyperlink" Target="https://www.linkedin.com/learning/business-analytics-marketing-data?trk=ondemandfile" TargetMode="External"/><Relationship Id="rId71" Type="http://schemas.openxmlformats.org/officeDocument/2006/relationships/hyperlink" Target="https://www.linkedin.com/learning/producing-screencast-videos-on-a-pc?trk=ondemandfile" TargetMode="External"/><Relationship Id="rId70" Type="http://schemas.openxmlformats.org/officeDocument/2006/relationships/hyperlink" Target="https://www.linkedin.com/learning/studying-for-the-certified-business-analysis-professional-cbap?trk=ondemandfile" TargetMode="External"/><Relationship Id="rId62" Type="http://schemas.openxmlformats.org/officeDocument/2006/relationships/hyperlink" Target="https://www.linkedin.com/learning/data-fluency-exploring-and-describing-data?trk=ondemandfile" TargetMode="External"/><Relationship Id="rId61" Type="http://schemas.openxmlformats.org/officeDocument/2006/relationships/hyperlink" Target="https://www.linkedin.com/learning/learning-moodle-3-9?trk=ondemandfile" TargetMode="External"/><Relationship Id="rId64" Type="http://schemas.openxmlformats.org/officeDocument/2006/relationships/hyperlink" Target="https://www.linkedin.com/learning/data-science-tools-of-the-trade-first-steps?trk=ondemandfile" TargetMode="External"/><Relationship Id="rId63" Type="http://schemas.openxmlformats.org/officeDocument/2006/relationships/hyperlink" Target="https://www.linkedin.com/learning/how-to-turn-your-entrepreneur-journey-into-a-successful-keynote-talk?trk=ondemandfile" TargetMode="External"/><Relationship Id="rId66" Type="http://schemas.openxmlformats.org/officeDocument/2006/relationships/hyperlink" Target="https://www.linkedin.com/learning/learning-excel-data-analysis?trk=ondemandfile" TargetMode="External"/><Relationship Id="rId65" Type="http://schemas.openxmlformats.org/officeDocument/2006/relationships/hyperlink" Target="https://www.linkedin.com/learning/empathy-in-business-design-for-success?trk=ondemandfile" TargetMode="External"/><Relationship Id="rId68" Type="http://schemas.openxmlformats.org/officeDocument/2006/relationships/hyperlink" Target="https://www.linkedin.com/learning/sql-for-exploratory-data-analysis-essential-training?trk=ondemandfile" TargetMode="External"/><Relationship Id="rId67" Type="http://schemas.openxmlformats.org/officeDocument/2006/relationships/hyperlink" Target="https://www.linkedin.com/learning/pivoting-to-virtual-events?trk=ondemandfile" TargetMode="External"/><Relationship Id="rId60" Type="http://schemas.openxmlformats.org/officeDocument/2006/relationships/hyperlink" Target="https://www.linkedin.com/learning/paths/master-python-for-data-science?trk=ondemandfile" TargetMode="External"/><Relationship Id="rId69" Type="http://schemas.openxmlformats.org/officeDocument/2006/relationships/hyperlink" Target="https://www.linkedin.com/learning/components-of-effective-learning?trk=ondemandfile" TargetMode="External"/><Relationship Id="rId51" Type="http://schemas.openxmlformats.org/officeDocument/2006/relationships/hyperlink" Target="https://www.linkedin.com/learning/build-your-own-baller-training-quick-start-guide-2?trk=ondemandfile" TargetMode="External"/><Relationship Id="rId50" Type="http://schemas.openxmlformats.org/officeDocument/2006/relationships/hyperlink" Target="https://www.linkedin.com/learning/paths/get-ahead-in-data-science?trk=ondemandfile" TargetMode="External"/><Relationship Id="rId53" Type="http://schemas.openxmlformats.org/officeDocument/2006/relationships/hyperlink" Target="https://www.linkedin.com/learning/data-driven-learning-design?trk=ondemandfile" TargetMode="External"/><Relationship Id="rId52" Type="http://schemas.openxmlformats.org/officeDocument/2006/relationships/hyperlink" Target="https://www.linkedin.com/learning/paths/visual-communication-for-business-professionals?trk=ondemandfile" TargetMode="External"/><Relationship Id="rId55" Type="http://schemas.openxmlformats.org/officeDocument/2006/relationships/hyperlink" Target="https://www.linkedin.com/learning/using-humor-in-training-to-eng-age-your-audience?trk=ondemandfile" TargetMode="External"/><Relationship Id="rId54" Type="http://schemas.openxmlformats.org/officeDocument/2006/relationships/hyperlink" Target="https://www.linkedin.com/learning/paths/master-advanced-excel-data-analytics-skills?trk=ondemandfile" TargetMode="External"/><Relationship Id="rId57" Type="http://schemas.openxmlformats.org/officeDocument/2006/relationships/hyperlink" Target="https://www.linkedin.com/learning/paths/master-excel-for-data-science?trk=ondemandfile" TargetMode="External"/><Relationship Id="rId56" Type="http://schemas.openxmlformats.org/officeDocument/2006/relationships/hyperlink" Target="https://www.linkedin.com/learning/business-analysis-foundations-business-process-modeling?trk=ondemandfile" TargetMode="External"/><Relationship Id="rId59" Type="http://schemas.openxmlformats.org/officeDocument/2006/relationships/hyperlink" Target="https://www.linkedin.com/learning/business-analysis-competencies-ba?trk=ondemandfile" TargetMode="External"/><Relationship Id="rId58" Type="http://schemas.openxmlformats.org/officeDocument/2006/relationships/hyperlink" Target="https://www.linkedin.com/learning/learning-to-teach-online-2?trk=ondemandfile" TargetMode="External"/><Relationship Id="rId95" Type="http://schemas.openxmlformats.org/officeDocument/2006/relationships/hyperlink" Target="https://www.linkedin.com/learning/designing-a-training-program-setting-goals-objectives-and-mediums?trk=ondemandfile" TargetMode="External"/><Relationship Id="rId94" Type="http://schemas.openxmlformats.org/officeDocument/2006/relationships/hyperlink" Target="https://www.linkedin.com/learning/blockchain-basics-14414119?trk=contentmappingfile" TargetMode="External"/><Relationship Id="rId97" Type="http://schemas.openxmlformats.org/officeDocument/2006/relationships/hyperlink" Target="https://www.linkedin.com/learning/elearning-quick-tips?trk=ondemandfile" TargetMode="External"/><Relationship Id="rId96" Type="http://schemas.openxmlformats.org/officeDocument/2006/relationships/hyperlink" Target="https://www.linkedin.com/learning/data-ethics-making-data-driven-decisions-2022?trk=ondemandfile" TargetMode="External"/><Relationship Id="rId99" Type="http://schemas.openxmlformats.org/officeDocument/2006/relationships/hyperlink" Target="https://www.linkedin.com/learning/practical-success-metrics-in-your-training-program?trk=ondemandfile" TargetMode="External"/><Relationship Id="rId98" Type="http://schemas.openxmlformats.org/officeDocument/2006/relationships/hyperlink" Target="https://www.linkedin.com/learning/data-science-foundations-fundamentals-2019-full-revision?trk=ondemandfile" TargetMode="External"/><Relationship Id="rId91" Type="http://schemas.openxmlformats.org/officeDocument/2006/relationships/hyperlink" Target="https://www.linkedin.com/learning/articulate-360-advanced-actions-2?trk=ondemandfile" TargetMode="External"/><Relationship Id="rId90" Type="http://schemas.openxmlformats.org/officeDocument/2006/relationships/hyperlink" Target="https://www.linkedin.com/learning/data-ethics-watching-out-for-data-misuse?trk=ondemandfile" TargetMode="External"/><Relationship Id="rId93" Type="http://schemas.openxmlformats.org/officeDocument/2006/relationships/hyperlink" Target="https://www.linkedin.com/learning/camtasia-2019-essential-training-advanced-techniques?trk=ondemandfile" TargetMode="External"/><Relationship Id="rId92" Type="http://schemas.openxmlformats.org/officeDocument/2006/relationships/hyperlink" Target="https://www.linkedin.com/learning/presenting-data-effectively-to-inform-and-inspire?trk=ondemandfile" TargetMode="External"/><Relationship Id="rId150" Type="http://schemas.openxmlformats.org/officeDocument/2006/relationships/hyperlink" Target="https://www.linkedin.com/learning/power-bi-dataflows-essential-training?trk=ondemandfile" TargetMode="External"/><Relationship Id="rId149" Type="http://schemas.openxmlformats.org/officeDocument/2006/relationships/hyperlink" Target="https://www.linkedin.com/learning/sql-data-reporting-and-analysis-2?trk=ondemandfile" TargetMode="External"/><Relationship Id="rId148" Type="http://schemas.openxmlformats.org/officeDocument/2006/relationships/hyperlink" Target="https://www.linkedin.com/learning/python-for-data-visualization?trk=ondemandfile" TargetMode="External"/><Relationship Id="rId143" Type="http://schemas.openxmlformats.org/officeDocument/2006/relationships/hyperlink" Target="https://www.linkedin.com/learning/big-data-analytics-with-hadoop-and-apache-spark?trk=ondemandfile" TargetMode="External"/><Relationship Id="rId142" Type="http://schemas.openxmlformats.org/officeDocument/2006/relationships/hyperlink" Target="https://www.linkedin.com/learning/power-bi-data-modeling-with-dax?trk=ondemandfile" TargetMode="External"/><Relationship Id="rId141" Type="http://schemas.openxmlformats.org/officeDocument/2006/relationships/hyperlink" Target="https://www.linkedin.com/learning/storytelling-with-data?trk=ondemandfile" TargetMode="External"/><Relationship Id="rId140" Type="http://schemas.openxmlformats.org/officeDocument/2006/relationships/hyperlink" Target="https://www.linkedin.com/learning/nosql-data-modeling-essential-training?trk=ondemandfile" TargetMode="External"/><Relationship Id="rId147" Type="http://schemas.openxmlformats.org/officeDocument/2006/relationships/hyperlink" Target="https://www.linkedin.com/learning/using-python-with-excel?trk=ondemandfile" TargetMode="External"/><Relationship Id="rId146" Type="http://schemas.openxmlformats.org/officeDocument/2006/relationships/hyperlink" Target="https://www.linkedin.com/learning/power-bi-data-methods?trk=ondemandfile" TargetMode="External"/><Relationship Id="rId145" Type="http://schemas.openxmlformats.org/officeDocument/2006/relationships/hyperlink" Target="https://www.linkedin.com/learning/data-dashboards-in-powe-r-bi?trk=ondemandfile" TargetMode="External"/><Relationship Id="rId144" Type="http://schemas.openxmlformats.org/officeDocument/2006/relationships/hyperlink" Target="https://www.linkedin.com/learning/text-analytics-and-predictions-with-r-essential-training?trk=ondemandfile" TargetMode="External"/><Relationship Id="rId139" Type="http://schemas.openxmlformats.org/officeDocument/2006/relationships/hyperlink" Target="https://www.linkedin.com/learning/excel-supply-chain-analysis-solving-transportation-problems?trk=ondemandfile" TargetMode="External"/><Relationship Id="rId138" Type="http://schemas.openxmlformats.org/officeDocument/2006/relationships/hyperlink" Target="https://www.linkedin.com/learning/data-visualization-storytelling?trk=ondemandfile" TargetMode="External"/><Relationship Id="rId137" Type="http://schemas.openxmlformats.org/officeDocument/2006/relationships/hyperlink" Target="https://www.linkedin.com/learning/ux-deep-dive-analyzing-data?trk=ondemandfile" TargetMode="External"/><Relationship Id="rId132" Type="http://schemas.openxmlformats.org/officeDocument/2006/relationships/hyperlink" Target="https://www.linkedin.com/learning/excel-statistics-essential-training-2-2?trk=ondemandfile" TargetMode="External"/><Relationship Id="rId131" Type="http://schemas.openxmlformats.org/officeDocument/2006/relationships/hyperlink" Target="https://www.linkedin.com/learning/giving-computers-vision?trk=contentmappingfile" TargetMode="External"/><Relationship Id="rId130" Type="http://schemas.openxmlformats.org/officeDocument/2006/relationships/hyperlink" Target="https://www.linkedin.com/learning/best-languages-for-data-science?trk=contentmappingfile" TargetMode="External"/><Relationship Id="rId136" Type="http://schemas.openxmlformats.org/officeDocument/2006/relationships/hyperlink" Target="https://www.linkedin.com/learning/excel-charts-in-depth?trk=ondemandfile" TargetMode="External"/><Relationship Id="rId135" Type="http://schemas.openxmlformats.org/officeDocument/2006/relationships/hyperlink" Target="https://www.linkedin.com/learning/design-thinking-data-intelligence?trk=ondemandfile" TargetMode="External"/><Relationship Id="rId134" Type="http://schemas.openxmlformats.org/officeDocument/2006/relationships/hyperlink" Target="https://www.linkedin.com/learning/2e8b717a-4b47-387b-81d7-f37e4e29e4fb?trk=ondemandfile" TargetMode="External"/><Relationship Id="rId133" Type="http://schemas.openxmlformats.org/officeDocument/2006/relationships/hyperlink" Target="https://www.linkedin.com/learning/03dd510b-7db9-3067-949e-6ee38f2bf60a?trk=ondemandfile" TargetMode="External"/><Relationship Id="rId165" Type="http://schemas.openxmlformats.org/officeDocument/2006/relationships/hyperlink" Target="https://www.linkedin.com/learning/business-analyst-and-project-manager-collaboration?trk=ondemandfile" TargetMode="External"/><Relationship Id="rId164" Type="http://schemas.openxmlformats.org/officeDocument/2006/relationships/hyperlink" Target="https://www.linkedin.com/learning/cert-prep-agile-analysis-iiba-aac?trk=ondemandfile" TargetMode="External"/><Relationship Id="rId163" Type="http://schemas.openxmlformats.org/officeDocument/2006/relationships/hyperlink" Target="https://www.linkedin.com/learning/agile-business-analysis-weekly-tips?trk=ondemandfile" TargetMode="External"/><Relationship Id="rId162" Type="http://schemas.openxmlformats.org/officeDocument/2006/relationships/hyperlink" Target="https://www.linkedin.com/learning/business-analyst-digital-transformation?trk=ondemandfile" TargetMode="External"/><Relationship Id="rId167" Type="http://schemas.openxmlformats.org/officeDocument/2006/relationships/drawing" Target="../drawings/drawing10.xml"/><Relationship Id="rId166" Type="http://schemas.openxmlformats.org/officeDocument/2006/relationships/hyperlink" Target="https://www.linkedin.com/learning/microsoft-power-apps-using-the-dataverse-formerly-the-common-data-service?trk=ondemandfile" TargetMode="External"/><Relationship Id="rId161" Type="http://schemas.openxmlformats.org/officeDocument/2006/relationships/hyperlink" Target="https://www.linkedin.com/learning/data-visualization-for-data-analysis-and-analytics?trk=ondemandfile" TargetMode="External"/><Relationship Id="rId160" Type="http://schemas.openxmlformats.org/officeDocument/2006/relationships/hyperlink" Target="https://www.linkedin.com/learning/postgresql-essential-training?trk=ondemandfile" TargetMode="External"/><Relationship Id="rId159" Type="http://schemas.openxmlformats.org/officeDocument/2006/relationships/hyperlink" Target="https://www.linkedin.com/learning/side-hustle-strategies-for-data-science-and-analytics-experts?trk=ondemandfile" TargetMode="External"/><Relationship Id="rId154" Type="http://schemas.openxmlformats.org/officeDocument/2006/relationships/hyperlink" Target="https://www.linkedin.com/learning/review-and-manage-the-sap-mrp-list?trk=ondemandfile" TargetMode="External"/><Relationship Id="rId153" Type="http://schemas.openxmlformats.org/officeDocument/2006/relationships/hyperlink" Target="https://www.linkedin.com/learning/abap-for-sap-users?trk=ondemandfile" TargetMode="External"/><Relationship Id="rId152" Type="http://schemas.openxmlformats.org/officeDocument/2006/relationships/hyperlink" Target="https://www.linkedin.com/learning/tableau-and-r-for-analytics-projects?trk=ondemandfile" TargetMode="External"/><Relationship Id="rId151" Type="http://schemas.openxmlformats.org/officeDocument/2006/relationships/hyperlink" Target="https://www.linkedin.com/learning/sap-erp-beyond-the-bas-ics?trk=ondemandfile" TargetMode="External"/><Relationship Id="rId158" Type="http://schemas.openxmlformats.org/officeDocument/2006/relationships/hyperlink" Target="https://www.linkedin.com/learning/the-data-science-of-experimental-design?trk=ondemandfile" TargetMode="External"/><Relationship Id="rId157" Type="http://schemas.openxmlformats.org/officeDocument/2006/relationships/hyperlink" Target="https://www.linkedin.com/learning/excel-avoiding-common-mistakes-office-365-excel-2019?trk=ondemandfile" TargetMode="External"/><Relationship Id="rId156" Type="http://schemas.openxmlformats.org/officeDocument/2006/relationships/hyperlink" Target="https://www.linkedin.com/learning/ai-in-fintech-essential-training?trk=ondemandfile" TargetMode="External"/><Relationship Id="rId155" Type="http://schemas.openxmlformats.org/officeDocument/2006/relationships/hyperlink" Target="https://www.linkedin.com/learning/ai-in-business-essential-training?trk=ondemandfile" TargetMode="External"/><Relationship Id="rId107" Type="http://schemas.openxmlformats.org/officeDocument/2006/relationships/hyperlink" Target="https://www.linkedin.com/learning/converting-face-to-face-training-into-digital-learning?trk=ondemandfile" TargetMode="External"/><Relationship Id="rId106" Type="http://schemas.openxmlformats.org/officeDocument/2006/relationships/hyperlink" Target="https://www.linkedin.com/learning/learning-public-data-sets-2?trk=ondemandfile" TargetMode="External"/><Relationship Id="rId105" Type="http://schemas.openxmlformats.org/officeDocument/2006/relationships/hyperlink" Target="https://www.linkedin.com/learning/adobe-captivate-advanced-actions?trk=ondemandfile" TargetMode="External"/><Relationship Id="rId104" Type="http://schemas.openxmlformats.org/officeDocument/2006/relationships/hyperlink" Target="https://www.linkedin.com/learning/the-data-game-of-fantasy-football?trk=ondemandfile" TargetMode="External"/><Relationship Id="rId109" Type="http://schemas.openxmlformats.org/officeDocument/2006/relationships/hyperlink" Target="https://www.linkedin.com/learning/articulate-storyline-quick-tips?trk=ondemandfile" TargetMode="External"/><Relationship Id="rId108" Type="http://schemas.openxmlformats.org/officeDocument/2006/relationships/hyperlink" Target="https://www.linkedin.com/learning/spss-statistics-essential-training-2?trk=ondemandfile" TargetMode="External"/><Relationship Id="rId103" Type="http://schemas.openxmlformats.org/officeDocument/2006/relationships/hyperlink" Target="https://www.linkedin.com/learning/applied-interaction-design-managing-comments?trk=ondemandfile" TargetMode="External"/><Relationship Id="rId102" Type="http://schemas.openxmlformats.org/officeDocument/2006/relationships/hyperlink" Target="https://www.linkedin.com/learning/learning-data-visualization-2019-revision?trk=ondemandfile" TargetMode="External"/><Relationship Id="rId101" Type="http://schemas.openxmlformats.org/officeDocument/2006/relationships/hyperlink" Target="https://www.linkedin.com/learning/interaction-design-interface?trk=ondemandfile" TargetMode="External"/><Relationship Id="rId100" Type="http://schemas.openxmlformats.org/officeDocument/2006/relationships/hyperlink" Target="https://www.linkedin.com/learning/excel-statistics-essential-training-1-2?trk=ondemandfile" TargetMode="External"/><Relationship Id="rId129" Type="http://schemas.openxmlformats.org/officeDocument/2006/relationships/hyperlink" Target="https://www.linkedin.com/learning/design-thinking-understanding-the-process?trk=ondemandfile" TargetMode="External"/><Relationship Id="rId128" Type="http://schemas.openxmlformats.org/officeDocument/2006/relationships/hyperlink" Target="https://www.linkedin.com/learning/hiring-a-chief-data-officer?trk=contentmappingfile" TargetMode="External"/><Relationship Id="rId127" Type="http://schemas.openxmlformats.org/officeDocument/2006/relationships/hyperlink" Target="https://www.linkedin.com/learning/running-a-design-business-writing-and-pricing-winning-proposals?trk=ondemandfile" TargetMode="External"/><Relationship Id="rId126" Type="http://schemas.openxmlformats.org/officeDocument/2006/relationships/hyperlink" Target="https://www.linkedin.com/learning/skills-that-set-data-scientists-apart?trk=contentmappingfile" TargetMode="External"/><Relationship Id="rId121" Type="http://schemas.openxmlformats.org/officeDocument/2006/relationships/hyperlink" Target="https://www.linkedin.com/learning/design-thinking-at-work-getabstract-summary?trk=ondemandfile" TargetMode="External"/><Relationship Id="rId120" Type="http://schemas.openxmlformats.org/officeDocument/2006/relationships/hyperlink" Target="https://www.linkedin.com/learning/linkedin-learning-highlights-data-science?trk=ondemandfile" TargetMode="External"/><Relationship Id="rId125" Type="http://schemas.openxmlformats.org/officeDocument/2006/relationships/hyperlink" Target="https://www.linkedin.com/learning/technology-and-design-ethics?trk=ondemandfile" TargetMode="External"/><Relationship Id="rId124" Type="http://schemas.openxmlformats.org/officeDocument/2006/relationships/hyperlink" Target="https://www.linkedin.com/learning/the-data-science-of-government-and-political-science-with-barton-poulson?trk=ondemandfile" TargetMode="External"/><Relationship Id="rId123" Type="http://schemas.openxmlformats.org/officeDocument/2006/relationships/hyperlink" Target="https://www.linkedin.com/learning/color-trends?trk=ondemandfile" TargetMode="External"/><Relationship Id="rId122" Type="http://schemas.openxmlformats.org/officeDocument/2006/relationships/hyperlink" Target="https://www.linkedin.com/learning/tech-ethics-avoiding-unintended-consequences?trk=ondemandfile" TargetMode="External"/><Relationship Id="rId118" Type="http://schemas.openxmlformats.org/officeDocument/2006/relationships/hyperlink" Target="https://www.linkedin.com/learning/how-to-perform-business-analysis-in-a-virtual-environment?trk=ondemandfile" TargetMode="External"/><Relationship Id="rId117" Type="http://schemas.openxmlformats.org/officeDocument/2006/relationships/hyperlink" Target="https://www.linkedin.com/learning/using-neuroscience-for-more-effective-l-d?trk=ondemandfile" TargetMode="External"/><Relationship Id="rId116" Type="http://schemas.openxmlformats.org/officeDocument/2006/relationships/hyperlink" Target="https://www.linkedin.com/learning/r-essential-training-part-2-modeling-dat?trk=ondemandfile" TargetMode="External"/><Relationship Id="rId115" Type="http://schemas.openxmlformats.org/officeDocument/2006/relationships/hyperlink" Target="https://www.linkedin.com/learning/leveraging-neuroscience-for-business-impact?trk=ondemandfile" TargetMode="External"/><Relationship Id="rId119" Type="http://schemas.openxmlformats.org/officeDocument/2006/relationships/hyperlink" Target="https://www.linkedin.com/learning/data-driven-learning-design?trk=ondemandfile" TargetMode="External"/><Relationship Id="rId110" Type="http://schemas.openxmlformats.org/officeDocument/2006/relationships/hyperlink" Target="https://www.linkedin.com/learning/r-essential-training-part-1-wrangling-and-visualizing-data?trk=ondemandfile" TargetMode="External"/><Relationship Id="rId114" Type="http://schemas.openxmlformats.org/officeDocument/2006/relationships/hyperlink" Target="https://www.linkedin.com/learning/the-non-technical-skills-of-effective-data-scientists?trk=ondemandfile" TargetMode="External"/><Relationship Id="rId113" Type="http://schemas.openxmlformats.org/officeDocument/2006/relationships/hyperlink" Target="https://www.linkedin.com/learning/applying-analytics-to-your-learning-program?trk=ondemandfile" TargetMode="External"/><Relationship Id="rId112" Type="http://schemas.openxmlformats.org/officeDocument/2006/relationships/hyperlink" Target="https://www.linkedin.com/learning/cloud-hadoop-scaling-apache-spark?trk=ondemandfile" TargetMode="External"/><Relationship Id="rId111" Type="http://schemas.openxmlformats.org/officeDocument/2006/relationships/hyperlink" Target="https://www.linkedin.com/learning/20-questions-to-improve-learning-at-your-organization?trk=ondemandfile"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linkedin.com/learning/emerging-financial-risk-management?trk=ondemandfile" TargetMode="External"/><Relationship Id="rId2" Type="http://schemas.openxmlformats.org/officeDocument/2006/relationships/hyperlink" Target="https://www.linkedin.com/learning/paths/become-an-accounts-payable-officer-2?trk=ondemandfile" TargetMode="External"/><Relationship Id="rId3" Type="http://schemas.openxmlformats.org/officeDocument/2006/relationships/hyperlink" Target="https://www.linkedin.com/learning/succession-planning?trk=ondemandfile" TargetMode="External"/><Relationship Id="rId4" Type="http://schemas.openxmlformats.org/officeDocument/2006/relationships/hyperlink" Target="https://www.linkedin.com/learning/paths/build-a-company-learning-and-development-program?trk=ondemandfile" TargetMode="External"/><Relationship Id="rId9" Type="http://schemas.openxmlformats.org/officeDocument/2006/relationships/hyperlink" Target="https://www.linkedin.com/learning/lean-technology-strategy-financial-management-to-support-business-agility?trk=ondemandfile" TargetMode="External"/><Relationship Id="rId5" Type="http://schemas.openxmlformats.org/officeDocument/2006/relationships/hyperlink" Target="https://www.linkedin.com/learning/corporate-finance-profitability-in-a-financial-downturn?trk=ondemandfile" TargetMode="External"/><Relationship Id="rId6" Type="http://schemas.openxmlformats.org/officeDocument/2006/relationships/hyperlink" Target="https://www.linkedin.com/learning/paths/become-a-bookkeeper?trk=ondemandfile" TargetMode="External"/><Relationship Id="rId7" Type="http://schemas.openxmlformats.org/officeDocument/2006/relationships/hyperlink" Target="https://www.linkedin.com/learning/organization-culture?trk=ondemandfile" TargetMode="External"/><Relationship Id="rId8" Type="http://schemas.openxmlformats.org/officeDocument/2006/relationships/hyperlink" Target="https://www.linkedin.com/learning/paths/become-a-corporate-recruiter?trk=ondemandfile" TargetMode="External"/><Relationship Id="rId40" Type="http://schemas.openxmlformats.org/officeDocument/2006/relationships/hyperlink" Target="https://www.linkedin.com/learning/focusing-on-the-bottom-line-as-an-employee?trk=ondemandfile" TargetMode="External"/><Relationship Id="rId42" Type="http://schemas.openxmlformats.org/officeDocument/2006/relationships/hyperlink" Target="https://www.linkedin.com/learning/business-analytics-deep-dive-forecasting-with-exponential-smoothing?trk=ondemandfile" TargetMode="External"/><Relationship Id="rId41" Type="http://schemas.openxmlformats.org/officeDocument/2006/relationships/hyperlink" Target="https://www.linkedin.com/learning/hr-providing-flexible-work-options?trk=ondemandfile" TargetMode="External"/><Relationship Id="rId44" Type="http://schemas.openxmlformats.org/officeDocument/2006/relationships/hyperlink" Target="https://www.linkedin.com/learning/business-analytics-forecasting-with-seasonal-baseline-smoothing?trk=ondemandfile" TargetMode="External"/><Relationship Id="rId43" Type="http://schemas.openxmlformats.org/officeDocument/2006/relationships/hyperlink" Target="https://www.linkedin.com/learning/employee-engagement?trk=ondemandfile" TargetMode="External"/><Relationship Id="rId46" Type="http://schemas.openxmlformats.org/officeDocument/2006/relationships/hyperlink" Target="https://www.linkedin.com/learning/business-intelligence-for-consultants?trk=ondemandfile" TargetMode="External"/><Relationship Id="rId45" Type="http://schemas.openxmlformats.org/officeDocument/2006/relationships/hyperlink" Target="https://www.linkedin.com/learning/human-resources-building-a-performance-management-system?trk=ondemandfile" TargetMode="External"/><Relationship Id="rId48" Type="http://schemas.openxmlformats.org/officeDocument/2006/relationships/hyperlink" Target="https://www.linkedin.com/learning/accounting-foundations-asset-impairment?trk=ondemandfile" TargetMode="External"/><Relationship Id="rId47" Type="http://schemas.openxmlformats.org/officeDocument/2006/relationships/hyperlink" Target="https://www.linkedin.com/learning/crisis-communication-for-hr?trk=ondemandfile" TargetMode="External"/><Relationship Id="rId49" Type="http://schemas.openxmlformats.org/officeDocument/2006/relationships/hyperlink" Target="https://www.linkedin.com/learning/planning-for-your-hybrid-organization?trk=ondemandfile" TargetMode="External"/><Relationship Id="rId31" Type="http://schemas.openxmlformats.org/officeDocument/2006/relationships/hyperlink" Target="https://www.linkedin.com/learning/managing-new-managers?trk=ondemandfile" TargetMode="External"/><Relationship Id="rId30" Type="http://schemas.openxmlformats.org/officeDocument/2006/relationships/hyperlink" Target="https://www.linkedin.com/learning/paths/get-ahead-in-the-on-demand-gig-economy?trk=ondemandfile" TargetMode="External"/><Relationship Id="rId33" Type="http://schemas.openxmlformats.org/officeDocument/2006/relationships/hyperlink" Target="https://www.linkedin.com/learning/s-4-finance-fiori-accounts-payable-analytics?trk=ondemandfile" TargetMode="External"/><Relationship Id="rId32" Type="http://schemas.openxmlformats.org/officeDocument/2006/relationships/hyperlink" Target="https://www.linkedin.com/learning/paths/develop-your-hr-management-and-leadership-skills?trk=ondemandfile" TargetMode="External"/><Relationship Id="rId35" Type="http://schemas.openxmlformats.org/officeDocument/2006/relationships/hyperlink" Target="https://www.linkedin.com/learning/hr-leadership-as-we-move-back-into-the-office?trk=ondemandfile" TargetMode="External"/><Relationship Id="rId34" Type="http://schemas.openxmlformats.org/officeDocument/2006/relationships/hyperlink" Target="https://www.linkedin.com/learning/paths/stay-ahead-in-personal-finance?trk=ondemandfile" TargetMode="External"/><Relationship Id="rId37" Type="http://schemas.openxmlformats.org/officeDocument/2006/relationships/hyperlink" Target="https://www.linkedin.com/learning/advanced-bookkeeping-techniques?trk=ondemandfile" TargetMode="External"/><Relationship Id="rId36" Type="http://schemas.openxmlformats.org/officeDocument/2006/relationships/hyperlink" Target="https://www.linkedin.com/learning/paths/stay-ahead-in-all-things-dibs?trk=ondemandfile" TargetMode="External"/><Relationship Id="rId39" Type="http://schemas.openxmlformats.org/officeDocument/2006/relationships/hyperlink" Target="https://www.linkedin.com/learning/paths/finding-and-retaining-talent?trk=ondemandfile" TargetMode="External"/><Relationship Id="rId38" Type="http://schemas.openxmlformats.org/officeDocument/2006/relationships/hyperlink" Target="https://www.linkedin.com/learning/finding-and-retaining-high-potentials-9018297?trk=ondemandfile" TargetMode="External"/><Relationship Id="rId20" Type="http://schemas.openxmlformats.org/officeDocument/2006/relationships/hyperlink" Target="https://www.linkedin.com/learning/paths/become-a-technical-recruiter?trk=ondemandfile" TargetMode="External"/><Relationship Id="rId22" Type="http://schemas.openxmlformats.org/officeDocument/2006/relationships/hyperlink" Target="https://www.linkedin.com/learning/paths/become-a-small-business-owner?trk=ondemandfile" TargetMode="External"/><Relationship Id="rId21" Type="http://schemas.openxmlformats.org/officeDocument/2006/relationships/hyperlink" Target="https://www.linkedin.com/learning/foundations-of-working-capital-management?trk=ondemandfile" TargetMode="External"/><Relationship Id="rId24" Type="http://schemas.openxmlformats.org/officeDocument/2006/relationships/hyperlink" Target="https://www.linkedin.com/learning/paths/build-a-more-equitable-and-inclusive-workplace?trk=ondemandfile" TargetMode="External"/><Relationship Id="rId23" Type="http://schemas.openxmlformats.org/officeDocument/2006/relationships/hyperlink" Target="https://www.linkedin.com/learning/360-degree-feedback?trk=ondemandfile" TargetMode="External"/><Relationship Id="rId26" Type="http://schemas.openxmlformats.org/officeDocument/2006/relationships/hyperlink" Target="https://www.linkedin.com/learning/paths/develop-your-finance-and-accounting-skills?trk=ondemandfile" TargetMode="External"/><Relationship Id="rId25" Type="http://schemas.openxmlformats.org/officeDocument/2006/relationships/hyperlink" Target="https://www.linkedin.com/learning/job-interview-tips-for-accountants?trk=ondemandfile" TargetMode="External"/><Relationship Id="rId28" Type="http://schemas.openxmlformats.org/officeDocument/2006/relationships/hyperlink" Target="https://www.linkedin.com/learning/paths/build-your-skills-in-recruiting?trk=ondemandfile" TargetMode="External"/><Relationship Id="rId27" Type="http://schemas.openxmlformats.org/officeDocument/2006/relationships/hyperlink" Target="https://www.linkedin.com/learning/hr-and-digital-transformation?trk=ondemandfile" TargetMode="External"/><Relationship Id="rId29" Type="http://schemas.openxmlformats.org/officeDocument/2006/relationships/hyperlink" Target="https://www.linkedin.com/learning/s-4-finance-fiori-accounts-receivable-analytics?trk=ondemandfile" TargetMode="External"/><Relationship Id="rId11" Type="http://schemas.openxmlformats.org/officeDocument/2006/relationships/hyperlink" Target="https://www.linkedin.com/learning/rewarding-employee-performance?trk=ondemandfile" TargetMode="External"/><Relationship Id="rId10" Type="http://schemas.openxmlformats.org/officeDocument/2006/relationships/hyperlink" Target="https://www.linkedin.com/learning/paths/become-a-corporate-financial-planning-analyst?trk=ondemandfile" TargetMode="External"/><Relationship Id="rId13" Type="http://schemas.openxmlformats.org/officeDocument/2006/relationships/hyperlink" Target="https://www.linkedin.com/learning/nonprofit-foundations?trk=ondemandfile" TargetMode="External"/><Relationship Id="rId12" Type="http://schemas.openxmlformats.org/officeDocument/2006/relationships/hyperlink" Target="https://www.linkedin.com/learning/paths/become-an-external-recruiter?trk=ondemandfile" TargetMode="External"/><Relationship Id="rId15" Type="http://schemas.openxmlformats.org/officeDocument/2006/relationships/hyperlink" Target="https://www.linkedin.com/learning/employee-experience?trk=ondemandfile" TargetMode="External"/><Relationship Id="rId14" Type="http://schemas.openxmlformats.org/officeDocument/2006/relationships/hyperlink" Target="https://www.linkedin.com/learning/paths/become-an-economist?trk=ondemandfile" TargetMode="External"/><Relationship Id="rId17" Type="http://schemas.openxmlformats.org/officeDocument/2006/relationships/hyperlink" Target="https://www.linkedin.com/learning/accounting-for-managers?trk=ondemandfile" TargetMode="External"/><Relationship Id="rId16" Type="http://schemas.openxmlformats.org/officeDocument/2006/relationships/hyperlink" Target="https://www.linkedin.com/learning/paths/become-an-hr-business-partner?trk=ondemandfile" TargetMode="External"/><Relationship Id="rId19" Type="http://schemas.openxmlformats.org/officeDocument/2006/relationships/hyperlink" Target="https://www.linkedin.com/learning/organizational-learning-and-development?trk=ondemandfile" TargetMode="External"/><Relationship Id="rId18" Type="http://schemas.openxmlformats.org/officeDocument/2006/relationships/hyperlink" Target="https://www.linkedin.com/learning/paths/become-a-financial-analyst?trk=ondemandfile" TargetMode="External"/><Relationship Id="rId84" Type="http://schemas.openxmlformats.org/officeDocument/2006/relationships/hyperlink" Target="https://www.linkedin.com/learning/applying-managerial-accounting?trk=ondemandfile" TargetMode="External"/><Relationship Id="rId83" Type="http://schemas.openxmlformats.org/officeDocument/2006/relationships/hyperlink" Target="https://www.linkedin.com/learning/handling-workplace-bullying?trk=ondemandfile" TargetMode="External"/><Relationship Id="rId86" Type="http://schemas.openxmlformats.org/officeDocument/2006/relationships/hyperlink" Target="https://www.linkedin.com/learning/corporate-finance-foundations?trk=ondemandfile" TargetMode="External"/><Relationship Id="rId85" Type="http://schemas.openxmlformats.org/officeDocument/2006/relationships/hyperlink" Target="https://www.linkedin.com/learning/human-resources-foundations?trk=ondemandfile" TargetMode="External"/><Relationship Id="rId88" Type="http://schemas.openxmlformats.org/officeDocument/2006/relationships/hyperlink" Target="https://www.linkedin.com/learning/financial-accounting-foundations?trk=ondemandfile" TargetMode="External"/><Relationship Id="rId87" Type="http://schemas.openxmlformats.org/officeDocument/2006/relationships/hyperlink" Target="https://www.linkedin.com/learning/human-resources-protecting-confidentiality?trk=ondemandfile" TargetMode="External"/><Relationship Id="rId89" Type="http://schemas.openxmlformats.org/officeDocument/2006/relationships/hyperlink" Target="https://www.linkedin.com/learning/teaching-civility-in-the-workplace?trk=ondemandfile" TargetMode="External"/><Relationship Id="rId80" Type="http://schemas.openxmlformats.org/officeDocument/2006/relationships/hyperlink" Target="https://www.linkedin.com/learning/agile-moscow-prioritization?trk=ondemandfile" TargetMode="External"/><Relationship Id="rId82" Type="http://schemas.openxmlformats.org/officeDocument/2006/relationships/hyperlink" Target="https://www.linkedin.com/learning/picking-the-right-chart-for-your-data?trk=ondemandfile" TargetMode="External"/><Relationship Id="rId81" Type="http://schemas.openxmlformats.org/officeDocument/2006/relationships/hyperlink" Target="https://www.linkedin.com/learning/tech-recruiting-foundations-4-recruiting-for-the-it-department?trk=ondemandfile" TargetMode="External"/><Relationship Id="rId73" Type="http://schemas.openxmlformats.org/officeDocument/2006/relationships/hyperlink" Target="https://www.linkedin.com/learning/people-success-employee-assessments?trk=ondemandfile" TargetMode="External"/><Relationship Id="rId72" Type="http://schemas.openxmlformats.org/officeDocument/2006/relationships/hyperlink" Target="https://www.linkedin.com/learning/finance-foundations-for-solopreneurs?trk=ondemandfile" TargetMode="External"/><Relationship Id="rId75" Type="http://schemas.openxmlformats.org/officeDocument/2006/relationships/hyperlink" Target="https://www.linkedin.com/learning/letting-an-employee-go-2?trk=ondemandfile" TargetMode="External"/><Relationship Id="rId74" Type="http://schemas.openxmlformats.org/officeDocument/2006/relationships/hyperlink" Target="https://www.linkedin.com/learning/understanding-capital-markets?trk=ondemandfile" TargetMode="External"/><Relationship Id="rId77" Type="http://schemas.openxmlformats.org/officeDocument/2006/relationships/hyperlink" Target="https://www.linkedin.com/learning/become-a-digital-nomad?trk=ondemandfile" TargetMode="External"/><Relationship Id="rId76" Type="http://schemas.openxmlformats.org/officeDocument/2006/relationships/hyperlink" Target="https://www.linkedin.com/learning/how-to-analyze-a-wholesale-deal-in-real-estate?trk=ondemandfile" TargetMode="External"/><Relationship Id="rId79" Type="http://schemas.openxmlformats.org/officeDocument/2006/relationships/hyperlink" Target="https://www.linkedin.com/learning/tech-recruiting-foundations-5-waterfall-agile-and-devops-for-recruiters?trk=ondemandfile" TargetMode="External"/><Relationship Id="rId78" Type="http://schemas.openxmlformats.org/officeDocument/2006/relationships/hyperlink" Target="https://www.linkedin.com/learning/consulting-foundations?trk=ondemandfile" TargetMode="External"/><Relationship Id="rId71" Type="http://schemas.openxmlformats.org/officeDocument/2006/relationships/hyperlink" Target="https://www.linkedin.com/learning/performance-management-employee-engagement?trk=ondemandfile" TargetMode="External"/><Relationship Id="rId70" Type="http://schemas.openxmlformats.org/officeDocument/2006/relationships/hyperlink" Target="https://www.linkedin.com/learning/teaching-your-kids-about-finance?trk=ondemandfile" TargetMode="External"/><Relationship Id="rId62" Type="http://schemas.openxmlformats.org/officeDocument/2006/relationships/hyperlink" Target="https://www.linkedin.com/learning/business-tax-foundations?trk=ondemandfile" TargetMode="External"/><Relationship Id="rId61" Type="http://schemas.openxmlformats.org/officeDocument/2006/relationships/hyperlink" Target="https://www.linkedin.com/learning/human-resources-managing-employee-problems?trk=ondemandfile" TargetMode="External"/><Relationship Id="rId64" Type="http://schemas.openxmlformats.org/officeDocument/2006/relationships/hyperlink" Target="https://www.linkedin.com/learning/finance-foundations-2?trk=ondemandfile" TargetMode="External"/><Relationship Id="rId63" Type="http://schemas.openxmlformats.org/officeDocument/2006/relationships/hyperlink" Target="https://www.linkedin.com/learning/hire-retain-and-grow-top-millennial-talent?trk=ondemandfile" TargetMode="External"/><Relationship Id="rId66" Type="http://schemas.openxmlformats.org/officeDocument/2006/relationships/hyperlink" Target="https://www.linkedin.com/learning/finance-foundations-income-taxes-2?trk=ondemandfile" TargetMode="External"/><Relationship Id="rId65" Type="http://schemas.openxmlformats.org/officeDocument/2006/relationships/hyperlink" Target="https://www.linkedin.com/learning/hiring-and-supporting-neurodiversity-in-the-workplace?trk=ondemandfile" TargetMode="External"/><Relationship Id="rId68" Type="http://schemas.openxmlformats.org/officeDocument/2006/relationships/hyperlink" Target="https://www.linkedin.com/learning/running-a-profitable-business-understanding-financial-ratios?trk=ondemandfile" TargetMode="External"/><Relationship Id="rId67" Type="http://schemas.openxmlformats.org/officeDocument/2006/relationships/hyperlink" Target="https://www.linkedin.com/learning/hr-communication-in-today-s-fluid-workplace?trk=ondemandfile" TargetMode="External"/><Relationship Id="rId60" Type="http://schemas.openxmlformats.org/officeDocument/2006/relationships/hyperlink" Target="https://www.linkedin.com/learning/audit-and-due-diligence-foundations?trk=ondemandfile" TargetMode="External"/><Relationship Id="rId69" Type="http://schemas.openxmlformats.org/officeDocument/2006/relationships/hyperlink" Target="https://www.linkedin.com/learning/hr-recruiting-communication-strategies-to-attract-and-retain-top-talent?trk=ondemandfile" TargetMode="External"/><Relationship Id="rId51" Type="http://schemas.openxmlformats.org/officeDocument/2006/relationships/hyperlink" Target="https://www.linkedin.com/learning/onboarding-new-hires-as-a-manager?trk=ondemandfile" TargetMode="External"/><Relationship Id="rId50" Type="http://schemas.openxmlformats.org/officeDocument/2006/relationships/hyperlink" Target="https://www.linkedin.com/learning/financial-adulting?trk=ondemandfile" TargetMode="External"/><Relationship Id="rId53" Type="http://schemas.openxmlformats.org/officeDocument/2006/relationships/hyperlink" Target="https://www.linkedin.com/learning/nonprofit-foundations?trk=ondemandfile" TargetMode="External"/><Relationship Id="rId52" Type="http://schemas.openxmlformats.org/officeDocument/2006/relationships/hyperlink" Target="https://www.linkedin.com/learning/sap-erp-essential-training?trk=ondemandfile" TargetMode="External"/><Relationship Id="rId55" Type="http://schemas.openxmlformats.org/officeDocument/2006/relationships/hyperlink" Target="https://www.linkedin.com/learning/hiring-an-employee-for-managers?trk=ondemandfile" TargetMode="External"/><Relationship Id="rId54" Type="http://schemas.openxmlformats.org/officeDocument/2006/relationships/hyperlink" Target="https://www.linkedin.com/learning/accounting-foundations-2?trk=ondemandfile" TargetMode="External"/><Relationship Id="rId57" Type="http://schemas.openxmlformats.org/officeDocument/2006/relationships/hyperlink" Target="https://www.linkedin.com/learning/managing-temporary-and-contract-employees?trk=ondemandfile" TargetMode="External"/><Relationship Id="rId56" Type="http://schemas.openxmlformats.org/officeDocument/2006/relationships/hyperlink" Target="https://www.linkedin.com/learning/779740?trk=ondemandfile" TargetMode="External"/><Relationship Id="rId59" Type="http://schemas.openxmlformats.org/officeDocument/2006/relationships/hyperlink" Target="https://www.linkedin.com/learning/virtual-interviewing-for-hr?trk=ondemandfile" TargetMode="External"/><Relationship Id="rId58" Type="http://schemas.openxmlformats.org/officeDocument/2006/relationships/hyperlink" Target="https://www.linkedin.com/learning/accounting-foundations-budgeting-2?trk=ondemandfile" TargetMode="External"/><Relationship Id="rId95" Type="http://schemas.openxmlformats.org/officeDocument/2006/relationships/hyperlink" Target="https://www.linkedin.com/learning/introduction-to-employee-relations?trk=ondemandfile" TargetMode="External"/><Relationship Id="rId94" Type="http://schemas.openxmlformats.org/officeDocument/2006/relationships/hyperlink" Target="https://www.linkedin.com/learning/finance-essentials-for-small-business?trk=ondemandfile" TargetMode="External"/><Relationship Id="rId97" Type="http://schemas.openxmlformats.org/officeDocument/2006/relationships/hyperlink" Target="https://www.linkedin.com/learning/empathy-tips-for-hr-professionals?trk=ondemandfile" TargetMode="External"/><Relationship Id="rId96" Type="http://schemas.openxmlformats.org/officeDocument/2006/relationships/hyperlink" Target="https://www.linkedin.com/learning/managing-your-personal-finances-2021?trk=ondemandfile" TargetMode="External"/><Relationship Id="rId99" Type="http://schemas.openxmlformats.org/officeDocument/2006/relationships/hyperlink" Target="https://www.linkedin.com/learning/creating-a-culture-of-learning-2?trk=ondemandfile" TargetMode="External"/><Relationship Id="rId98" Type="http://schemas.openxmlformats.org/officeDocument/2006/relationships/hyperlink" Target="https://www.linkedin.com/learning/first-5-things-you-have-to-do-to-start-a-business-as-a-creator?trk=ondemandfile" TargetMode="External"/><Relationship Id="rId91" Type="http://schemas.openxmlformats.org/officeDocument/2006/relationships/hyperlink" Target="https://www.linkedin.com/learning/women-transforming-tech-finding-a-mentor?trk=ondemandfile" TargetMode="External"/><Relationship Id="rId90" Type="http://schemas.openxmlformats.org/officeDocument/2006/relationships/hyperlink" Target="https://www.linkedin.com/learning/behavioral-finance-foundations-2?trk=ondemandfile" TargetMode="External"/><Relationship Id="rId93" Type="http://schemas.openxmlformats.org/officeDocument/2006/relationships/hyperlink" Target="https://www.linkedin.com/learning/collaborating-with-your-millennial-manager?trk=ondemandfile" TargetMode="External"/><Relationship Id="rId92" Type="http://schemas.openxmlformats.org/officeDocument/2006/relationships/hyperlink" Target="https://www.linkedin.com/learning/using-the-time-value-of-money-to-make-financial-decisions-2020?trk=ondemandfile" TargetMode="External"/><Relationship Id="rId190" Type="http://schemas.openxmlformats.org/officeDocument/2006/relationships/hyperlink" Target="https://www.linkedin.com/learning/accounting-ethics?trk=ondemandfile" TargetMode="External"/><Relationship Id="rId194" Type="http://schemas.openxmlformats.org/officeDocument/2006/relationships/hyperlink" Target="https://www.linkedin.com/learning/financial-basics-everyone-should-know?trk=ondemandfile" TargetMode="External"/><Relationship Id="rId193" Type="http://schemas.openxmlformats.org/officeDocument/2006/relationships/hyperlink" Target="https://www.linkedin.com/learning/recovering-from-a-financial-setback?trk=ondemandfile" TargetMode="External"/><Relationship Id="rId192" Type="http://schemas.openxmlformats.org/officeDocument/2006/relationships/hyperlink" Target="https://www.linkedin.com/learning/managing-international-projects-2?trk=ondemandfile" TargetMode="External"/><Relationship Id="rId191" Type="http://schemas.openxmlformats.org/officeDocument/2006/relationships/hyperlink" Target="https://www.linkedin.com/learning/agile-foundations?trk=ondemandfile" TargetMode="External"/><Relationship Id="rId187" Type="http://schemas.openxmlformats.org/officeDocument/2006/relationships/hyperlink" Target="https://www.linkedin.com/learning/financial-literacy-for-employees?trk=ondemandfile" TargetMode="External"/><Relationship Id="rId186" Type="http://schemas.openxmlformats.org/officeDocument/2006/relationships/hyperlink" Target="https://www.linkedin.com/learning/finance-foundations-corporate-governanace?trk=ondemandfile" TargetMode="External"/><Relationship Id="rId185" Type="http://schemas.openxmlformats.org/officeDocument/2006/relationships/hyperlink" Target="https://www.linkedin.com/learning/accounting-foundations-statement-of-cash-flows?trk=ondemandfile" TargetMode="External"/><Relationship Id="rId184" Type="http://schemas.openxmlformats.org/officeDocument/2006/relationships/hyperlink" Target="https://www.linkedin.com/learning/the-business-of-accounting?trk=ondemandfile" TargetMode="External"/><Relationship Id="rId189" Type="http://schemas.openxmlformats.org/officeDocument/2006/relationships/hyperlink" Target="https://www.linkedin.com/learning/introduction-to-nfts-non-fungible-tokens?trk=ondemandfile" TargetMode="External"/><Relationship Id="rId188" Type="http://schemas.openxmlformats.org/officeDocument/2006/relationships/hyperlink" Target="https://www.linkedin.com/learning/preparing-for-an-audit?trk=ondemandfile" TargetMode="External"/><Relationship Id="rId183" Type="http://schemas.openxmlformats.org/officeDocument/2006/relationships/hyperlink" Target="https://www.linkedin.com/learning/quickbooks-online-tips-and-tricks?trk=ondemandfile" TargetMode="External"/><Relationship Id="rId182" Type="http://schemas.openxmlformats.org/officeDocument/2006/relationships/hyperlink" Target="https://www.linkedin.com/learning/the-future-of-audit?trk=ondemandfile" TargetMode="External"/><Relationship Id="rId181" Type="http://schemas.openxmlformats.org/officeDocument/2006/relationships/hyperlink" Target="https://www.linkedin.com/learning/addiction-a-community-issue?trk=ondemandfile" TargetMode="External"/><Relationship Id="rId180" Type="http://schemas.openxmlformats.org/officeDocument/2006/relationships/hyperlink" Target="https://www.linkedin.com/learning/excel-modeling-tips-and-tricks?trk=ondemandfile" TargetMode="External"/><Relationship Id="rId176" Type="http://schemas.openxmlformats.org/officeDocument/2006/relationships/hyperlink" Target="https://www.linkedin.com/learning/accounting-foundations-global-finance-accounting?trk=ondemandfile" TargetMode="External"/><Relationship Id="rId175" Type="http://schemas.openxmlformats.org/officeDocument/2006/relationships/hyperlink" Target="https://www.linkedin.com/learning/bystander-training-from-bystander-to-upstander?trk=ondemandfile" TargetMode="External"/><Relationship Id="rId174" Type="http://schemas.openxmlformats.org/officeDocument/2006/relationships/hyperlink" Target="https://www.linkedin.com/learning/economics-for-business-leaders?trk=ondemandfile" TargetMode="External"/><Relationship Id="rId173" Type="http://schemas.openxmlformats.org/officeDocument/2006/relationships/hyperlink" Target="https://www.linkedin.com/learning/privacy-in-the-age-of-covid?trk=ondemandfile" TargetMode="External"/><Relationship Id="rId179" Type="http://schemas.openxmlformats.org/officeDocument/2006/relationships/hyperlink" Target="https://www.linkedin.com/learning/adding-value-through-diversity?trk=ondemandfile" TargetMode="External"/><Relationship Id="rId178" Type="http://schemas.openxmlformats.org/officeDocument/2006/relationships/hyperlink" Target="https://www.linkedin.com/learning/audit-and-due-diligence-priorities-and-best-practices?trk=ondemandfile" TargetMode="External"/><Relationship Id="rId177" Type="http://schemas.openxmlformats.org/officeDocument/2006/relationships/hyperlink" Target="https://www.linkedin.com/learning/negotiating-power-and-preventing-harassment?trk=ondemandfile" TargetMode="External"/><Relationship Id="rId197" Type="http://schemas.openxmlformats.org/officeDocument/2006/relationships/drawing" Target="../drawings/drawing11.xml"/><Relationship Id="rId196" Type="http://schemas.openxmlformats.org/officeDocument/2006/relationships/hyperlink" Target="https://www.linkedin.com/learning/what-is-business-analysis?trk=ondemandfile" TargetMode="External"/><Relationship Id="rId195" Type="http://schemas.openxmlformats.org/officeDocument/2006/relationships/hyperlink" Target="https://www.linkedin.com/learning/economics-for-everyone-housing-markets-in-crisis?trk=ondemandfile" TargetMode="External"/><Relationship Id="rId150" Type="http://schemas.openxmlformats.org/officeDocument/2006/relationships/hyperlink" Target="https://www.linkedin.com/learning/corporate-finance-robust-financial-modeling?trk=ondemandfile" TargetMode="External"/><Relationship Id="rId149" Type="http://schemas.openxmlformats.org/officeDocument/2006/relationships/hyperlink" Target="https://www.linkedin.com/learning/setting-and-managing-realistic-expectations-for-your-l-d-program?trk=ondemandfile" TargetMode="External"/><Relationship Id="rId148" Type="http://schemas.openxmlformats.org/officeDocument/2006/relationships/hyperlink" Target="https://www.linkedin.com/learning/excel-for-corporate-finance-professionals?trk=ondemandfile" TargetMode="External"/><Relationship Id="rId143" Type="http://schemas.openxmlformats.org/officeDocument/2006/relationships/hyperlink" Target="https://www.linkedin.com/learning/practical-success-metrics-in-your-training-program?trk=ondemandfile" TargetMode="External"/><Relationship Id="rId142" Type="http://schemas.openxmlformats.org/officeDocument/2006/relationships/hyperlink" Target="https://www.linkedin.com/learning/consulting-foundations-client-management-and-relationships?trk=ondemandfile" TargetMode="External"/><Relationship Id="rId141" Type="http://schemas.openxmlformats.org/officeDocument/2006/relationships/hyperlink" Target="https://www.linkedin.com/learning/interviewing-t-echniques-2019?trk=ondemandfile" TargetMode="External"/><Relationship Id="rId140" Type="http://schemas.openxmlformats.org/officeDocument/2006/relationships/hyperlink" Target="https://www.linkedin.com/learning/contracting-for-consultants?trk=ondemandfile" TargetMode="External"/><Relationship Id="rId147" Type="http://schemas.openxmlformats.org/officeDocument/2006/relationships/hyperlink" Target="https://www.linkedin.com/learning/interviewing-a-job-candidate-for-recruiters-2?trk=ondemandfile" TargetMode="External"/><Relationship Id="rId146" Type="http://schemas.openxmlformats.org/officeDocument/2006/relationships/hyperlink" Target="https://www.linkedin.com/learning/excel-for-investment-professionals?trk=ondemandfile" TargetMode="External"/><Relationship Id="rId145" Type="http://schemas.openxmlformats.org/officeDocument/2006/relationships/hyperlink" Target="https://www.linkedin.com/learning/diversity-recruiting-2?trk=ondemandfile" TargetMode="External"/><Relationship Id="rId144" Type="http://schemas.openxmlformats.org/officeDocument/2006/relationships/hyperlink" Target="https://www.linkedin.com/learning/critical-roles-consultants-play-and-the-skills-you-need-to-fill-them?trk=ondemandfile" TargetMode="External"/><Relationship Id="rId139" Type="http://schemas.openxmlformats.org/officeDocument/2006/relationships/hyperlink" Target="https://www.linkedin.com/learning/strategic-human-resources?trk=ondemandfile" TargetMode="External"/><Relationship Id="rId138" Type="http://schemas.openxmlformats.org/officeDocument/2006/relationships/hyperlink" Target="https://www.linkedin.com/learning/sap-accounts-payable-boot-camp?trk=ondemandfile" TargetMode="External"/><Relationship Id="rId137" Type="http://schemas.openxmlformats.org/officeDocument/2006/relationships/hyperlink" Target="https://www.linkedin.com/learning/performance-based-hiring?trk=ondemandfile" TargetMode="External"/><Relationship Id="rId132" Type="http://schemas.openxmlformats.org/officeDocument/2006/relationships/hyperlink" Target="https://www.linkedin.com/learning/sap-business-one-finance-and-banking?trk=ondemandfile" TargetMode="External"/><Relationship Id="rId131" Type="http://schemas.openxmlformats.org/officeDocument/2006/relationships/hyperlink" Target="https://www.linkedin.com/learning/driving-workplace-happiness?trk=ondemandfile" TargetMode="External"/><Relationship Id="rId130" Type="http://schemas.openxmlformats.org/officeDocument/2006/relationships/hyperlink" Target="https://www.linkedin.com/learning/corporate-finance-strategies-for-business-leaders?trk=ondemandfile" TargetMode="External"/><Relationship Id="rId136" Type="http://schemas.openxmlformats.org/officeDocument/2006/relationships/hyperlink" Target="https://www.linkedin.com/learning/financial-risk-management-reduce-risk?trk=ondemandfile" TargetMode="External"/><Relationship Id="rId135" Type="http://schemas.openxmlformats.org/officeDocument/2006/relationships/hyperlink" Target="https://www.linkedin.com/learning/human-resources-using-metrics-to-drive-hr-strategy?trk=ondemandfile" TargetMode="External"/><Relationship Id="rId134" Type="http://schemas.openxmlformats.org/officeDocument/2006/relationships/hyperlink" Target="https://www.linkedin.com/learning/finance-for-non-financial-managers?trk=ondemandfile" TargetMode="External"/><Relationship Id="rId133" Type="http://schemas.openxmlformats.org/officeDocument/2006/relationships/hyperlink" Target="https://www.linkedin.com/learning/human-resources-payroll?trk=ondemandfile" TargetMode="External"/><Relationship Id="rId172" Type="http://schemas.openxmlformats.org/officeDocument/2006/relationships/hyperlink" Target="https://www.linkedin.com/learning/accounting-foundations-cost-based-pricing-strategies?trk=ondemandfile" TargetMode="External"/><Relationship Id="rId171" Type="http://schemas.openxmlformats.org/officeDocument/2006/relationships/hyperlink" Target="https://www.linkedin.com/learning/human-resources-pay-strategy-2?trk=ondemandfile" TargetMode="External"/><Relationship Id="rId170" Type="http://schemas.openxmlformats.org/officeDocument/2006/relationships/hyperlink" Target="https://www.linkedin.com/learning/ai-in-fintech-essential-training?trk=ondemandfile" TargetMode="External"/><Relationship Id="rId165" Type="http://schemas.openxmlformats.org/officeDocument/2006/relationships/hyperlink" Target="https://www.linkedin.com/learning/human-resources-strategic-workforce-planning?trk=ondemandfile" TargetMode="External"/><Relationship Id="rId164" Type="http://schemas.openxmlformats.org/officeDocument/2006/relationships/hyperlink" Target="https://www.linkedin.com/learning/excel-implementing-balanced-scorecards-with-kpis?trk=ondemandfile" TargetMode="External"/><Relationship Id="rId163" Type="http://schemas.openxmlformats.org/officeDocument/2006/relationships/hyperlink" Target="https://www.linkedin.com/learning/human-resources-selecting-an-hr-system?trk=ondemandfile" TargetMode="External"/><Relationship Id="rId162" Type="http://schemas.openxmlformats.org/officeDocument/2006/relationships/hyperlink" Target="https://www.linkedin.com/learning/accounting-foundations-leases?trk=ondemandfile" TargetMode="External"/><Relationship Id="rId169" Type="http://schemas.openxmlformats.org/officeDocument/2006/relationships/hyperlink" Target="https://www.linkedin.com/learning/using-neuroscience-for-more-effective-l-d?trk=ondemandfile" TargetMode="External"/><Relationship Id="rId168" Type="http://schemas.openxmlformats.org/officeDocument/2006/relationships/hyperlink" Target="https://www.linkedin.com/learning/business-investment-analysis?trk=ondemandfile" TargetMode="External"/><Relationship Id="rId167" Type="http://schemas.openxmlformats.org/officeDocument/2006/relationships/hyperlink" Target="https://www.linkedin.com/learning/people-analytics?trk=ondemandfile" TargetMode="External"/><Relationship Id="rId166" Type="http://schemas.openxmlformats.org/officeDocument/2006/relationships/hyperlink" Target="https://www.linkedin.com/learning/accounting-foundations-internal-controls?trk=ondemandfile" TargetMode="External"/><Relationship Id="rId161" Type="http://schemas.openxmlformats.org/officeDocument/2006/relationships/hyperlink" Target="https://www.linkedin.com/learning/human-resources-leadership-and-strategic-impact?trk=ondemandfile" TargetMode="External"/><Relationship Id="rId160" Type="http://schemas.openxmlformats.org/officeDocument/2006/relationships/hyperlink" Target="https://www.linkedin.com/learning/financial-modeling-and-forecasting-financial-statements?trk=ondemandfile" TargetMode="External"/><Relationship Id="rId159" Type="http://schemas.openxmlformats.org/officeDocument/2006/relationships/hyperlink" Target="https://www.linkedin.com/learning/running-a-design-business-the-staffing-rule-book?trk=ondemandfile" TargetMode="External"/><Relationship Id="rId154" Type="http://schemas.openxmlformats.org/officeDocument/2006/relationships/hyperlink" Target="https://www.linkedin.com/learning/algorithmic-trading-and-stocks-essential-training?trk=ondemandfile" TargetMode="External"/><Relationship Id="rId153" Type="http://schemas.openxmlformats.org/officeDocument/2006/relationships/hyperlink" Target="https://www.linkedin.com/learning/managing-misconduct-in-the-workplace?trk=ondemandfile" TargetMode="External"/><Relationship Id="rId152" Type="http://schemas.openxmlformats.org/officeDocument/2006/relationships/hyperlink" Target="https://www.linkedin.com/learning/data-analytics-for-business-professionals?trk=ondemandfile" TargetMode="External"/><Relationship Id="rId151" Type="http://schemas.openxmlformats.org/officeDocument/2006/relationships/hyperlink" Target="https://www.linkedin.com/learning/rolling-out-a-dibs-training-program-in-your-company?trk=ondemandfile" TargetMode="External"/><Relationship Id="rId158" Type="http://schemas.openxmlformats.org/officeDocument/2006/relationships/hyperlink" Target="https://www.linkedin.com/learning/sql-for-statistics-essential-training?trk=ondemandfile" TargetMode="External"/><Relationship Id="rId157" Type="http://schemas.openxmlformats.org/officeDocument/2006/relationships/hyperlink" Target="https://www.linkedin.com/learning/leadership-mindsets?trk=ondemandfile" TargetMode="External"/><Relationship Id="rId156" Type="http://schemas.openxmlformats.org/officeDocument/2006/relationships/hyperlink" Target="https://www.linkedin.com/learning/data-analytics-for-pricing-analysts-in-excel?trk=ondemandfile" TargetMode="External"/><Relationship Id="rId155" Type="http://schemas.openxmlformats.org/officeDocument/2006/relationships/hyperlink" Target="https://www.linkedin.com/learning/converting-face-to-face-training-into-digital-learning?trk=ondemandfile" TargetMode="External"/><Relationship Id="rId107" Type="http://schemas.openxmlformats.org/officeDocument/2006/relationships/hyperlink" Target="https://www.linkedin.com/learning/learning-linkedin-recruiter-2021?trk=ondemandfile" TargetMode="External"/><Relationship Id="rId106" Type="http://schemas.openxmlformats.org/officeDocument/2006/relationships/hyperlink" Target="https://www.linkedin.com/learning/quickbooks-online-essential-training-2021?trk=ondemandfile" TargetMode="External"/><Relationship Id="rId105" Type="http://schemas.openxmlformats.org/officeDocument/2006/relationships/hyperlink" Target="https://www.linkedin.com/learning/recruiting-foundations-2019?trk=ondemandfile" TargetMode="External"/><Relationship Id="rId104" Type="http://schemas.openxmlformats.org/officeDocument/2006/relationships/hyperlink" Target="https://www.linkedin.com/learning/accounting-foundations-understanding-the-gaap-general-applied-accounting-principles?trk=ondemandfile" TargetMode="External"/><Relationship Id="rId109" Type="http://schemas.openxmlformats.org/officeDocument/2006/relationships/hyperlink" Target="https://www.linkedin.com/learning/demystifying-company-culture?trk=ondemandfile" TargetMode="External"/><Relationship Id="rId108" Type="http://schemas.openxmlformats.org/officeDocument/2006/relationships/hyperlink" Target="https://www.linkedin.com/learning/quickbooks-pro-2019-essential-training?trk=ondemandfile" TargetMode="External"/><Relationship Id="rId103" Type="http://schemas.openxmlformats.org/officeDocument/2006/relationships/hyperlink" Target="https://www.linkedin.com/learning/recruiting-external-recruiters?trk=ondemandfile" TargetMode="External"/><Relationship Id="rId102" Type="http://schemas.openxmlformats.org/officeDocument/2006/relationships/hyperlink" Target="https://www.linkedin.com/learning/managerial-finance-foundations?trk=ondemandfile" TargetMode="External"/><Relationship Id="rId101" Type="http://schemas.openxmlformats.org/officeDocument/2006/relationships/hyperlink" Target="https://www.linkedin.com/learning/inclusion-during-difficult-times?trk=ondemandfile" TargetMode="External"/><Relationship Id="rId100" Type="http://schemas.openxmlformats.org/officeDocument/2006/relationships/hyperlink" Target="https://www.linkedin.com/learning/build-your-financial-literacy?trk=ondemandfile" TargetMode="External"/><Relationship Id="rId129" Type="http://schemas.openxmlformats.org/officeDocument/2006/relationships/hyperlink" Target="https://www.linkedin.com/learning/introduction-to-the-phr-certification-exam?trk=ondemandfile" TargetMode="External"/><Relationship Id="rId128" Type="http://schemas.openxmlformats.org/officeDocument/2006/relationships/hyperlink" Target="https://www.linkedin.com/learning/corporate-finance-statement-analysis?trk=ondemandfile" TargetMode="External"/><Relationship Id="rId127" Type="http://schemas.openxmlformats.org/officeDocument/2006/relationships/hyperlink" Target="https://www.linkedin.com/learning/human-resources-working-with-vendors-2?trk=ondemandfile" TargetMode="External"/><Relationship Id="rId126" Type="http://schemas.openxmlformats.org/officeDocument/2006/relationships/hyperlink" Target="https://www.linkedin.com/learning/activity-based-costing?trk=ondemandfile" TargetMode="External"/><Relationship Id="rId121" Type="http://schemas.openxmlformats.org/officeDocument/2006/relationships/hyperlink" Target="https://www.linkedin.com/learning/hiring-and-managing-ux-professionals?trk=ondemandfile" TargetMode="External"/><Relationship Id="rId120" Type="http://schemas.openxmlformats.org/officeDocument/2006/relationships/hyperlink" Target="https://www.linkedin.com/learning/developing-investment-acumen?trk=ondemandfile" TargetMode="External"/><Relationship Id="rId125" Type="http://schemas.openxmlformats.org/officeDocument/2006/relationships/hyperlink" Target="https://www.linkedin.com/learning/human-resources-creating-an-employee-handbook?trk=ondemandfile" TargetMode="External"/><Relationship Id="rId124" Type="http://schemas.openxmlformats.org/officeDocument/2006/relationships/hyperlink" Target="https://www.linkedin.com/learning/financial-modeling?trk=ondemandfile" TargetMode="External"/><Relationship Id="rId123" Type="http://schemas.openxmlformats.org/officeDocument/2006/relationships/hyperlink" Target="https://www.linkedin.com/learning/understanding-organisations-and-the-role-of-hr?trk=ondemandfile" TargetMode="External"/><Relationship Id="rId122" Type="http://schemas.openxmlformats.org/officeDocument/2006/relationships/hyperlink" Target="https://www.linkedin.com/learning/financial-record-keeping?trk=ondemandfile" TargetMode="External"/><Relationship Id="rId118" Type="http://schemas.openxmlformats.org/officeDocument/2006/relationships/hyperlink" Target="https://www.linkedin.com/learning/economics-for-everyone-understanding-a-recession?trk=ondemandfile" TargetMode="External"/><Relationship Id="rId117" Type="http://schemas.openxmlformats.org/officeDocument/2006/relationships/hyperlink" Target="https://www.linkedin.com/learning/fair-and-effective-interviewing-for-diversity-and-inclusion?trk=ondemandfile" TargetMode="External"/><Relationship Id="rId116" Type="http://schemas.openxmlformats.org/officeDocument/2006/relationships/hyperlink" Target="https://www.linkedin.com/learning/analyzing-a-real-estate-deal?trk=ondemandfile" TargetMode="External"/><Relationship Id="rId115" Type="http://schemas.openxmlformats.org/officeDocument/2006/relationships/hyperlink" Target="https://www.linkedin.com/learning/getting-started-as-a-linkedin-learning-hub-admin?trk=ondemandfile" TargetMode="External"/><Relationship Id="rId119" Type="http://schemas.openxmlformats.org/officeDocument/2006/relationships/hyperlink" Target="https://www.linkedin.com/learning/hr-guidelines-everyone-should-know-2022?trk=ondemandfile" TargetMode="External"/><Relationship Id="rId110" Type="http://schemas.openxmlformats.org/officeDocument/2006/relationships/hyperlink" Target="https://www.linkedin.com/learning/financial-accounting-part-2?trk=ondemandfile" TargetMode="External"/><Relationship Id="rId114" Type="http://schemas.openxmlformats.org/officeDocument/2006/relationships/hyperlink" Target="https://www.linkedin.com/learning/financial-accounting-part-1?trk=ondemandfile" TargetMode="External"/><Relationship Id="rId113" Type="http://schemas.openxmlformats.org/officeDocument/2006/relationships/hyperlink" Target="https://www.linkedin.com/learning/preparing-for-the-shrm-cp-exam?trk=ondemandfile" TargetMode="External"/><Relationship Id="rId112" Type="http://schemas.openxmlformats.org/officeDocument/2006/relationships/hyperlink" Target="https://www.linkedin.com/learning/finance-foundations-risk-management?trk=ondemandfile" TargetMode="External"/><Relationship Id="rId111" Type="http://schemas.openxmlformats.org/officeDocument/2006/relationships/hyperlink" Target="https://www.linkedin.com/learning/business-benefits-realization-foundations?trk=ondemandfile"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linkedin.com/learning/mba-in-digital-ops?trk=ondemandfile" TargetMode="External"/><Relationship Id="rId2" Type="http://schemas.openxmlformats.org/officeDocument/2006/relationships/hyperlink" Target="https://www.linkedin.com/learning/paths/applying-lean-devops-and-agile-to-your-it-organization?trk=ondemandfile" TargetMode="External"/><Relationship Id="rId3" Type="http://schemas.openxmlformats.org/officeDocument/2006/relationships/hyperlink" Target="https://www.linkedin.com/learning/jeff-dyer-on-innovation?trk=ondemandfile" TargetMode="External"/><Relationship Id="rId4" Type="http://schemas.openxmlformats.org/officeDocument/2006/relationships/hyperlink" Target="https://www.linkedin.com/learning/paths/become-a-thought-leader?trk=ondemandfile" TargetMode="External"/><Relationship Id="rId9" Type="http://schemas.openxmlformats.org/officeDocument/2006/relationships/hyperlink" Target="https://www.linkedin.com/learning/ai-foundations-machine-learning?trk=ondemandfile" TargetMode="External"/><Relationship Id="rId5" Type="http://schemas.openxmlformats.org/officeDocument/2006/relationships/hyperlink" Target="https://www.linkedin.com/learning/ai-foundations-thinking-machines?trk=ondemandfile" TargetMode="External"/><Relationship Id="rId6" Type="http://schemas.openxmlformats.org/officeDocument/2006/relationships/hyperlink" Target="https://www.linkedin.com/learning/paths/advance-your-skills-in-the-blockchain?trk=ondemandfile" TargetMode="External"/><Relationship Id="rId7" Type="http://schemas.openxmlformats.org/officeDocument/2006/relationships/hyperlink" Target="https://www.linkedin.com/learning/leading-with-innovation?trk=ondemandfile" TargetMode="External"/><Relationship Id="rId8" Type="http://schemas.openxmlformats.org/officeDocument/2006/relationships/hyperlink" Target="https://www.linkedin.com/learning/paths/digital-transformation-for-leaders?trk=ondemandfile" TargetMode="External"/><Relationship Id="rId40" Type="http://schemas.openxmlformats.org/officeDocument/2006/relationships/hyperlink" Target="https://www.linkedin.com/learning/using-emotions-to-leverage-and-accelerate-change-a-guide-for-leaders?trk=ondemandfile" TargetMode="External"/><Relationship Id="rId42" Type="http://schemas.openxmlformats.org/officeDocument/2006/relationships/hyperlink" Target="https://www.linkedin.com/learning/paths/become-an-excel-2013-microsoft-office-specialist?trk=ondemandfile" TargetMode="External"/><Relationship Id="rId41" Type="http://schemas.openxmlformats.org/officeDocument/2006/relationships/hyperlink" Target="https://www.linkedin.com/learning/creating-your-it-strategy?trk=ondemandfile" TargetMode="External"/><Relationship Id="rId44" Type="http://schemas.openxmlformats.org/officeDocument/2006/relationships/hyperlink" Target="https://www.linkedin.com/learning/assessing-digital-maturity?trk=ondemandfile" TargetMode="External"/><Relationship Id="rId43" Type="http://schemas.openxmlformats.org/officeDocument/2006/relationships/hyperlink" Target="https://www.linkedin.com/learning/coaching-your-team-from-uncertainty-to-action?trk=ondemandfile" TargetMode="External"/><Relationship Id="rId46" Type="http://schemas.openxmlformats.org/officeDocument/2006/relationships/hyperlink" Target="https://www.linkedin.com/learning/how-to-be-an-inclusive-leader-getabstract-summary?trk=ondemandfile" TargetMode="External"/><Relationship Id="rId45" Type="http://schemas.openxmlformats.org/officeDocument/2006/relationships/hyperlink" Target="https://www.linkedin.com/learning/paths/become-a-filemaker-custom-app-developer?trk=ondemandfile" TargetMode="External"/><Relationship Id="rId48" Type="http://schemas.openxmlformats.org/officeDocument/2006/relationships/hyperlink" Target="https://www.linkedin.com/learning/paths/become-an-it-security-specialist?trk=ondemandfile" TargetMode="External"/><Relationship Id="rId47" Type="http://schemas.openxmlformats.org/officeDocument/2006/relationships/hyperlink" Target="https://www.linkedin.com/learning/artificial-intelligence-and-business-strategy?trk=ondemandfile" TargetMode="External"/><Relationship Id="rId49" Type="http://schemas.openxmlformats.org/officeDocument/2006/relationships/hyperlink" Target="https://www.linkedin.com/learning/ai-for-product-managers?trk=ondemandfile" TargetMode="External"/><Relationship Id="rId31" Type="http://schemas.openxmlformats.org/officeDocument/2006/relationships/hyperlink" Target="https://www.linkedin.com/learning/counterintuitive-leadership-strategies-for-a-vuca-environment?trk=ondemandfile" TargetMode="External"/><Relationship Id="rId30" Type="http://schemas.openxmlformats.org/officeDocument/2006/relationships/hyperlink" Target="https://www.linkedin.com/learning/paths/master-the-fundamentals-of-ai-and-machine-learning?trk=ondemandfile" TargetMode="External"/><Relationship Id="rId33" Type="http://schemas.openxmlformats.org/officeDocument/2006/relationships/hyperlink" Target="https://www.linkedin.com/learning/paths/become-an-aws-data-and-devops-specialist?trk=ondemandfile" TargetMode="External"/><Relationship Id="rId32" Type="http://schemas.openxmlformats.org/officeDocument/2006/relationships/hyperlink" Target="https://www.linkedin.com/learning/devops-foundations-transforming-the-enterprise?trk=ondemandfile" TargetMode="External"/><Relationship Id="rId35" Type="http://schemas.openxmlformats.org/officeDocument/2006/relationships/hyperlink" Target="https://www.linkedin.com/learning/make-it-work-in-your-business?trk=ondemandfile" TargetMode="External"/><Relationship Id="rId34" Type="http://schemas.openxmlformats.org/officeDocument/2006/relationships/hyperlink" Target="https://www.linkedin.com/learning/aaron-dignan-on-transformational-change?trk=ondemandfile" TargetMode="External"/><Relationship Id="rId37" Type="http://schemas.openxmlformats.org/officeDocument/2006/relationships/hyperlink" Target="https://www.linkedin.com/learning/leading-organizations-ten-timeless-truths-getabstract-summary?trk=ondemandfile" TargetMode="External"/><Relationship Id="rId36" Type="http://schemas.openxmlformats.org/officeDocument/2006/relationships/hyperlink" Target="https://www.linkedin.com/learning/paths/become-a-c-plus-plus-developer?trk=ondemandfile" TargetMode="External"/><Relationship Id="rId39" Type="http://schemas.openxmlformats.org/officeDocument/2006/relationships/hyperlink" Target="https://www.linkedin.com/learning/paths/become-a-cloud-administrator?trk=ondemandfile" TargetMode="External"/><Relationship Id="rId38" Type="http://schemas.openxmlformats.org/officeDocument/2006/relationships/hyperlink" Target="https://www.linkedin.com/learning/implementing-your-it-strategy?trk=ondemandfile" TargetMode="External"/><Relationship Id="rId20" Type="http://schemas.openxmlformats.org/officeDocument/2006/relationships/hyperlink" Target="https://www.linkedin.com/learning/paths/managing-change?trk=ondemandfile" TargetMode="External"/><Relationship Id="rId22" Type="http://schemas.openxmlformats.org/officeDocument/2006/relationships/hyperlink" Target="https://www.linkedin.com/learning/paths/advance-your-skills-as-a-computer-forensics-specialist?trk=ondemandfile" TargetMode="External"/><Relationship Id="rId21" Type="http://schemas.openxmlformats.org/officeDocument/2006/relationships/hyperlink" Target="https://www.linkedin.com/learning/accelerating-digital-transformation-as-offices-reopen?trk=ondemandfile" TargetMode="External"/><Relationship Id="rId24" Type="http://schemas.openxmlformats.org/officeDocument/2006/relationships/hyperlink" Target="https://www.linkedin.com/learning/paths/manage-change-and-develop-your-adaptability-skills?trk=ondemandfile" TargetMode="External"/><Relationship Id="rId23" Type="http://schemas.openxmlformats.org/officeDocument/2006/relationships/hyperlink" Target="https://www.linkedin.com/learning/leading-change-2018?trk=ondemandfile" TargetMode="External"/><Relationship Id="rId26" Type="http://schemas.openxmlformats.org/officeDocument/2006/relationships/hyperlink" Target="https://www.linkedin.com/learning/paths/advance-your-skills-in-deep-learning-and-neural-networks?trk=ondemandfile" TargetMode="External"/><Relationship Id="rId25" Type="http://schemas.openxmlformats.org/officeDocument/2006/relationships/hyperlink" Target="https://www.linkedin.com/learning/foundations-of-the-fourth-industrial-revolution-industry-4-0?trk=ondemandfile" TargetMode="External"/><Relationship Id="rId28" Type="http://schemas.openxmlformats.org/officeDocument/2006/relationships/hyperlink" Target="https://www.linkedin.com/learning/paths/women-in-leadership-3?trk=ondemandfile" TargetMode="External"/><Relationship Id="rId27" Type="http://schemas.openxmlformats.org/officeDocument/2006/relationships/hyperlink" Target="https://www.linkedin.com/learning/assessing-digital-maturity?trk=ondemandfile" TargetMode="External"/><Relationship Id="rId29" Type="http://schemas.openxmlformats.org/officeDocument/2006/relationships/hyperlink" Target="https://www.linkedin.com/learning/lean-technology-strategy-managing-the-innovation-portfolio?trk=ondemandfile" TargetMode="External"/><Relationship Id="rId11" Type="http://schemas.openxmlformats.org/officeDocument/2006/relationships/hyperlink" Target="https://www.linkedin.com/learning/built-to-last-successful-habits-of-visionary-companies?trk=ondemandfile" TargetMode="External"/><Relationship Id="rId10" Type="http://schemas.openxmlformats.org/officeDocument/2006/relationships/hyperlink" Target="https://www.linkedin.com/learning/paths/advance-your-skills-as-an-azure-it-administrator?trk=ondemandfile" TargetMode="External"/><Relationship Id="rId13" Type="http://schemas.openxmlformats.org/officeDocument/2006/relationships/hyperlink" Target="https://www.linkedin.com/learning/ai-foundations-neural-networks?trk=ondemandfile" TargetMode="External"/><Relationship Id="rId12" Type="http://schemas.openxmlformats.org/officeDocument/2006/relationships/hyperlink" Target="https://www.linkedin.com/learning/paths/digital-transformation-for-tech-leaders?trk=ondemandfile" TargetMode="External"/><Relationship Id="rId15" Type="http://schemas.openxmlformats.org/officeDocument/2006/relationships/hyperlink" Target="https://www.linkedin.com/learning/sustainability-strategies?trk=ondemandfile" TargetMode="External"/><Relationship Id="rId14" Type="http://schemas.openxmlformats.org/officeDocument/2006/relationships/hyperlink" Target="https://www.linkedin.com/learning/paths/advance-your-skills-as-an-it-help-desk-specialist?trk=ondemandfile" TargetMode="External"/><Relationship Id="rId17" Type="http://schemas.openxmlformats.org/officeDocument/2006/relationships/hyperlink" Target="https://www.linkedin.com/learning/agile-software-development-transforming-your-organization?trk=ondemandfile" TargetMode="External"/><Relationship Id="rId16" Type="http://schemas.openxmlformats.org/officeDocument/2006/relationships/hyperlink" Target="https://www.linkedin.com/learning/paths/leading-during-times-of-change?trk=ondemandfile" TargetMode="External"/><Relationship Id="rId19" Type="http://schemas.openxmlformats.org/officeDocument/2006/relationships/hyperlink" Target="https://www.linkedin.com/learning/creating-a-culture-of-change?trk=ondemandfile" TargetMode="External"/><Relationship Id="rId18" Type="http://schemas.openxmlformats.org/officeDocument/2006/relationships/hyperlink" Target="https://www.linkedin.com/learning/paths/advance-your-skills-in-ai-and-machine-learning?trk=ondemandfile" TargetMode="External"/><Relationship Id="rId84" Type="http://schemas.openxmlformats.org/officeDocument/2006/relationships/hyperlink" Target="https://www.linkedin.com/learning/paths/getting-started-with-microsoft-word?trk=ondemandfile" TargetMode="External"/><Relationship Id="rId83" Type="http://schemas.openxmlformats.org/officeDocument/2006/relationships/hyperlink" Target="https://www.linkedin.com/learning/devops-foundations-going-cloud-native?trk=ondemandfile" TargetMode="External"/><Relationship Id="rId86" Type="http://schemas.openxmlformats.org/officeDocument/2006/relationships/hyperlink" Target="https://www.linkedin.com/learning/conducting-tech-interviews?trk=ondemandfile" TargetMode="External"/><Relationship Id="rId85" Type="http://schemas.openxmlformats.org/officeDocument/2006/relationships/hyperlink" Target="https://www.linkedin.com/learning/reorganize-and-transition-your-team-for-change?trk=ondemandfile" TargetMode="External"/><Relationship Id="rId88" Type="http://schemas.openxmlformats.org/officeDocument/2006/relationships/hyperlink" Target="https://www.linkedin.com/learning/leading-with-fearless-mindfulness?trk=ondemandfile" TargetMode="External"/><Relationship Id="rId87" Type="http://schemas.openxmlformats.org/officeDocument/2006/relationships/hyperlink" Target="https://www.linkedin.com/learning/paths/improve-your-continuous-delivery-skills?trk=ondemandfile" TargetMode="External"/><Relationship Id="rId89" Type="http://schemas.openxmlformats.org/officeDocument/2006/relationships/hyperlink" Target="https://www.linkedin.com/learning/it-service-management-foundations-measures-and-metrics?trk=ondemandfile" TargetMode="External"/><Relationship Id="rId80" Type="http://schemas.openxmlformats.org/officeDocument/2006/relationships/hyperlink" Target="https://www.linkedin.com/learning/learning-xai-explainable-artificial-intelligence?trk=ondemandfile" TargetMode="External"/><Relationship Id="rId82" Type="http://schemas.openxmlformats.org/officeDocument/2006/relationships/hyperlink" Target="https://www.linkedin.com/learning/start-with-why?trk=ondemandfile" TargetMode="External"/><Relationship Id="rId81" Type="http://schemas.openxmlformats.org/officeDocument/2006/relationships/hyperlink" Target="https://www.linkedin.com/learning/paths/getting-started-with-microsoft-outlook?trk=ondemandfile" TargetMode="External"/><Relationship Id="rId73" Type="http://schemas.openxmlformats.org/officeDocument/2006/relationships/hyperlink" Target="https://www.linkedin.com/learning/leading-with-values?trk=ondemandfile" TargetMode="External"/><Relationship Id="rId72" Type="http://schemas.openxmlformats.org/officeDocument/2006/relationships/hyperlink" Target="https://www.linkedin.com/learning/paths/get-ahead-in-ios-app-development?trk=ondemandfile" TargetMode="External"/><Relationship Id="rId75" Type="http://schemas.openxmlformats.org/officeDocument/2006/relationships/hyperlink" Target="https://www.linkedin.com/learning/paths/getting-started-with-microsoft-excel?trk=ondemandfile" TargetMode="External"/><Relationship Id="rId74" Type="http://schemas.openxmlformats.org/officeDocument/2006/relationships/hyperlink" Target="https://www.linkedin.com/learning/become-a-digital-trust-safety-leader?trk=ondemandfile" TargetMode="External"/><Relationship Id="rId77" Type="http://schemas.openxmlformats.org/officeDocument/2006/relationships/hyperlink" Target="https://www.linkedin.com/learning/technical-product-management?trk=ondemandfile" TargetMode="External"/><Relationship Id="rId76" Type="http://schemas.openxmlformats.org/officeDocument/2006/relationships/hyperlink" Target="https://www.linkedin.com/learning/moving-past-change-fatigue-to-the-growth-edge?trk=ondemandfile" TargetMode="External"/><Relationship Id="rId79" Type="http://schemas.openxmlformats.org/officeDocument/2006/relationships/hyperlink" Target="https://www.linkedin.com/learning/change-leadership?trk=ondemandfile" TargetMode="External"/><Relationship Id="rId78" Type="http://schemas.openxmlformats.org/officeDocument/2006/relationships/hyperlink" Target="https://www.linkedin.com/learning/paths/getting-started-with-microsoft-onenote?trk=ondemandfile" TargetMode="External"/><Relationship Id="rId71" Type="http://schemas.openxmlformats.org/officeDocument/2006/relationships/hyperlink" Target="https://www.linkedin.com/learning/inclusive-tech-the-case-for-inclusive-leadership?trk=ondemandfile" TargetMode="External"/><Relationship Id="rId70" Type="http://schemas.openxmlformats.org/officeDocument/2006/relationships/hyperlink" Target="https://www.linkedin.com/learning/communicating-in-times-of-change?trk=ondemandfile" TargetMode="External"/><Relationship Id="rId62" Type="http://schemas.openxmlformats.org/officeDocument/2006/relationships/hyperlink" Target="https://www.linkedin.com/learning/introduction-to-digital-twins?trk=ondemandfile" TargetMode="External"/><Relationship Id="rId61" Type="http://schemas.openxmlformats.org/officeDocument/2006/relationships/hyperlink" Target="https://www.linkedin.com/learning/navigating-environmental-sustainability-a-guide-for-leaders?trk=ondemandfile" TargetMode="External"/><Relationship Id="rId64" Type="http://schemas.openxmlformats.org/officeDocument/2006/relationships/hyperlink" Target="https://www.linkedin.com/learning/building-resilience-as-a-leader?trk=ondemandfile" TargetMode="External"/><Relationship Id="rId63" Type="http://schemas.openxmlformats.org/officeDocument/2006/relationships/hyperlink" Target="https://www.linkedin.com/learning/paths/become-an-seo-expert?trk=ondemandfile" TargetMode="External"/><Relationship Id="rId66" Type="http://schemas.openxmlformats.org/officeDocument/2006/relationships/hyperlink" Target="https://www.linkedin.com/learning/paths/become-a-sharepoint-2013-microsoft-office-specialist?trk=ondemandfile" TargetMode="External"/><Relationship Id="rId65" Type="http://schemas.openxmlformats.org/officeDocument/2006/relationships/hyperlink" Target="https://www.linkedin.com/learning/implementing-an-information-security-program?trk=ondemandfile" TargetMode="External"/><Relationship Id="rId68" Type="http://schemas.openxmlformats.org/officeDocument/2006/relationships/hyperlink" Target="https://www.linkedin.com/learning/intro-to-service-management-with-itil-4?trk=ondemandfile" TargetMode="External"/><Relationship Id="rId67" Type="http://schemas.openxmlformats.org/officeDocument/2006/relationships/hyperlink" Target="https://www.linkedin.com/learning/organizational-learning-and-development?trk=ondemandfile" TargetMode="External"/><Relationship Id="rId60" Type="http://schemas.openxmlformats.org/officeDocument/2006/relationships/hyperlink" Target="https://www.linkedin.com/learning/paths/become-a-python-developer?trk=ondemandfile" TargetMode="External"/><Relationship Id="rId69" Type="http://schemas.openxmlformats.org/officeDocument/2006/relationships/hyperlink" Target="https://www.linkedin.com/learning/paths/become-a-word-2013-microsoft-office-specialist?trk=ondemandfile" TargetMode="External"/><Relationship Id="rId51" Type="http://schemas.openxmlformats.org/officeDocument/2006/relationships/hyperlink" Target="https://www.linkedin.com/learning/paths/become-an-it-support-technician?trk=ondemandfile" TargetMode="External"/><Relationship Id="rId50" Type="http://schemas.openxmlformats.org/officeDocument/2006/relationships/hyperlink" Target="https://www.linkedin.com/learning/artificial-intelligence-and-business-strategy-case-studies?trk=ondemandfile" TargetMode="External"/><Relationship Id="rId53" Type="http://schemas.openxmlformats.org/officeDocument/2006/relationships/hyperlink" Target="https://www.linkedin.com/learning/cybersecurity-for-executives?trk=ondemandfile" TargetMode="External"/><Relationship Id="rId52" Type="http://schemas.openxmlformats.org/officeDocument/2006/relationships/hyperlink" Target="https://www.linkedin.com/learning/organization-communication?trk=ondemandfile" TargetMode="External"/><Relationship Id="rId55" Type="http://schemas.openxmlformats.org/officeDocument/2006/relationships/hyperlink" Target="https://www.linkedin.com/learning/the-purpose-effect-getabstract-summary?trk=ondemandfile" TargetMode="External"/><Relationship Id="rId54" Type="http://schemas.openxmlformats.org/officeDocument/2006/relationships/hyperlink" Target="https://www.linkedin.com/learning/paths/become-an-outlook-2013-microsoft-office-specialist?trk=ondemandfile" TargetMode="External"/><Relationship Id="rId57" Type="http://schemas.openxmlformats.org/officeDocument/2006/relationships/hyperlink" Target="https://www.linkedin.com/learning/paths/become-a-powerpoint-2013-microsoft-office-specialist?trk=ondemandfile" TargetMode="External"/><Relationship Id="rId56" Type="http://schemas.openxmlformats.org/officeDocument/2006/relationships/hyperlink" Target="https://www.linkedin.com/learning/data-privacy-michelle-dennedy?trk=ondemandfile" TargetMode="External"/><Relationship Id="rId59" Type="http://schemas.openxmlformats.org/officeDocument/2006/relationships/hyperlink" Target="https://www.linkedin.com/learning/introduction-to-quantum-computing?trk=ondemandfile" TargetMode="External"/><Relationship Id="rId58" Type="http://schemas.openxmlformats.org/officeDocument/2006/relationships/hyperlink" Target="https://www.linkedin.com/learning/futures-centered-design?trk=ondemandfile" TargetMode="External"/><Relationship Id="rId95" Type="http://schemas.openxmlformats.org/officeDocument/2006/relationships/hyperlink" Target="https://www.linkedin.com/learning/managing-and-working-with-a-technical-team-for-nontechnical-professionals?trk=ondemandfile" TargetMode="External"/><Relationship Id="rId94" Type="http://schemas.openxmlformats.org/officeDocument/2006/relationships/hyperlink" Target="https://www.linkedin.com/learning/building-change-capability-for-managers?trk=ondemandfile" TargetMode="External"/><Relationship Id="rId97" Type="http://schemas.openxmlformats.org/officeDocument/2006/relationships/hyperlink" Target="https://www.linkedin.com/learning/body-language-for-leaders-2?trk=ondemandfile" TargetMode="External"/><Relationship Id="rId96" Type="http://schemas.openxmlformats.org/officeDocument/2006/relationships/hyperlink" Target="https://www.linkedin.com/learning/paths/improve-your-tableau-skills?trk=ondemandfile" TargetMode="External"/><Relationship Id="rId99" Type="http://schemas.openxmlformats.org/officeDocument/2006/relationships/hyperlink" Target="https://www.linkedin.com/learning/paths/master-cloud-native-infrastructure-with-kubernetes?trk=ondemandfile" TargetMode="External"/><Relationship Id="rId98" Type="http://schemas.openxmlformats.org/officeDocument/2006/relationships/hyperlink" Target="https://www.linkedin.com/learning/comptia-security-plus-sy0-601-cert-prep-8-network-security-design-and-implementation?trk=ondemandfile" TargetMode="External"/><Relationship Id="rId91" Type="http://schemas.openxmlformats.org/officeDocument/2006/relationships/hyperlink" Target="https://www.linkedin.com/learning/supporting-workers-with-disabilities?trk=ondemandfile" TargetMode="External"/><Relationship Id="rId90" Type="http://schemas.openxmlformats.org/officeDocument/2006/relationships/hyperlink" Target="https://www.linkedin.com/learning/paths/improve-your-itil-skills?trk=ondemandfile" TargetMode="External"/><Relationship Id="rId93" Type="http://schemas.openxmlformats.org/officeDocument/2006/relationships/hyperlink" Target="https://www.linkedin.com/learning/paths/improve-your-microsoft-excel-skills?trk=ondemandfile" TargetMode="External"/><Relationship Id="rId92" Type="http://schemas.openxmlformats.org/officeDocument/2006/relationships/hyperlink" Target="https://www.linkedin.com/learning/ccsp-cert-prep-1-cloud-concepts-architecture-and-design-audio-review?trk=ondemandfile" TargetMode="External"/><Relationship Id="rId228" Type="http://schemas.openxmlformats.org/officeDocument/2006/relationships/hyperlink" Target="https://www.linkedin.com/learning/machine-learning-for-marketing-essential-training?trk=ondemandfile" TargetMode="External"/><Relationship Id="rId227" Type="http://schemas.openxmlformats.org/officeDocument/2006/relationships/hyperlink" Target="https://www.linkedin.com/learning/artificial-intelligence-how-project-managers-can-leverage-ai?trk=ondemandfile" TargetMode="External"/><Relationship Id="rId226" Type="http://schemas.openxmlformats.org/officeDocument/2006/relationships/hyperlink" Target="https://www.linkedin.com/learning/power-bi-data-modeling-with-dax?trk=ondemandfile" TargetMode="External"/><Relationship Id="rId225" Type="http://schemas.openxmlformats.org/officeDocument/2006/relationships/hyperlink" Target="https://www.linkedin.com/learning/algorithmic-trading-and-finance-models-with-python-r-and-stata-essential-training?trk=ondemandfile" TargetMode="External"/><Relationship Id="rId229" Type="http://schemas.openxmlformats.org/officeDocument/2006/relationships/hyperlink" Target="https://www.linkedin.com/learning/microsoft-teams-successful-meetings-and-events?trk=ondemandfile" TargetMode="External"/><Relationship Id="rId220" Type="http://schemas.openxmlformats.org/officeDocument/2006/relationships/hyperlink" Target="https://www.linkedin.com/learning/azure-administration-deploy-and-manage-virtual-machines?trk=ondemandfile" TargetMode="External"/><Relationship Id="rId224" Type="http://schemas.openxmlformats.org/officeDocument/2006/relationships/hyperlink" Target="https://www.linkedin.com/learning/deep-learning-face-recognition?trk=ondemandfile" TargetMode="External"/><Relationship Id="rId223" Type="http://schemas.openxmlformats.org/officeDocument/2006/relationships/hyperlink" Target="https://www.linkedin.com/learning/deep-learning-image-recognition?trk=ondemandfile" TargetMode="External"/><Relationship Id="rId222" Type="http://schemas.openxmlformats.org/officeDocument/2006/relationships/hyperlink" Target="https://www.linkedin.com/learning/ai-accountability-essential-training?trk=ondemandfile" TargetMode="External"/><Relationship Id="rId221" Type="http://schemas.openxmlformats.org/officeDocument/2006/relationships/hyperlink" Target="https://www.linkedin.com/learning/text-analytics-and-predictions-with-python-essential-training?trk=ondemandfile" TargetMode="External"/><Relationship Id="rId217" Type="http://schemas.openxmlformats.org/officeDocument/2006/relationships/hyperlink" Target="https://www.linkedin.com/learning/configuration-manager-configure-and-maintain-a-management-infrastructure?trk=ondemandfile" TargetMode="External"/><Relationship Id="rId216" Type="http://schemas.openxmlformats.org/officeDocument/2006/relationships/hyperlink" Target="https://www.linkedin.com/learning/ccna-security-210-260-cert-prep-4-secure-routing-and-switching?trk=ondemandfile" TargetMode="External"/><Relationship Id="rId215" Type="http://schemas.openxmlformats.org/officeDocument/2006/relationships/hyperlink" Target="https://www.linkedin.com/learning/api-test-automation-with-soapui?trk=ondemandfile" TargetMode="External"/><Relationship Id="rId214" Type="http://schemas.openxmlformats.org/officeDocument/2006/relationships/hyperlink" Target="https://www.linkedin.com/learning/amazon-web-services-automation-and-optimization?trk=ondemandfile" TargetMode="External"/><Relationship Id="rId219" Type="http://schemas.openxmlformats.org/officeDocument/2006/relationships/hyperlink" Target="https://www.linkedin.com/learning/azure-administration-manage-subscriptions-and-resources?trk=ondemandfile" TargetMode="External"/><Relationship Id="rId218" Type="http://schemas.openxmlformats.org/officeDocument/2006/relationships/hyperlink" Target="https://www.linkedin.com/learning/network-virtualization-sdn-overlay-solutions?trk=ondemandfile" TargetMode="External"/><Relationship Id="rId213" Type="http://schemas.openxmlformats.org/officeDocument/2006/relationships/hyperlink" Target="https://www.linkedin.com/learning/jenkins-essential-training?trk=ondemandfile" TargetMode="External"/><Relationship Id="rId212" Type="http://schemas.openxmlformats.org/officeDocument/2006/relationships/hyperlink" Target="https://www.linkedin.com/learning/python-automation-and-testing?trk=ondemandfile" TargetMode="External"/><Relationship Id="rId211" Type="http://schemas.openxmlformats.org/officeDocument/2006/relationships/hyperlink" Target="https://www.linkedin.com/learning/exploratory-testing?trk=ondemandfile" TargetMode="External"/><Relationship Id="rId210" Type="http://schemas.openxmlformats.org/officeDocument/2006/relationships/hyperlink" Target="https://www.linkedin.com/learning/api-testing-for-web-services?trk=ondemandfile" TargetMode="External"/><Relationship Id="rId242" Type="http://schemas.openxmlformats.org/officeDocument/2006/relationships/hyperlink" Target="https://www.linkedin.com/learning/trending-tools?trk=ondemandfile" TargetMode="External"/><Relationship Id="rId241" Type="http://schemas.openxmlformats.org/officeDocument/2006/relationships/hyperlink" Target="https://www.linkedin.com/learning/microsoft-365-choose-the-right-tool-for-the-job?trk=ondemandfile" TargetMode="External"/><Relationship Id="rId240" Type="http://schemas.openxmlformats.org/officeDocument/2006/relationships/hyperlink" Target="https://www.linkedin.com/learning/agile-development-in-the-new-world-of-work?trk=ondemandfile" TargetMode="External"/><Relationship Id="rId243" Type="http://schemas.openxmlformats.org/officeDocument/2006/relationships/drawing" Target="../drawings/drawing12.xml"/><Relationship Id="rId239" Type="http://schemas.openxmlformats.org/officeDocument/2006/relationships/hyperlink" Target="https://www.linkedin.com/learning/first-look-python-3-9?trk=ondemandfile" TargetMode="External"/><Relationship Id="rId238" Type="http://schemas.openxmlformats.org/officeDocument/2006/relationships/hyperlink" Target="https://www.linkedin.com/learning/evil-by-design-persuasion-in-ux-14253964?trk=ondemandfile" TargetMode="External"/><Relationship Id="rId237" Type="http://schemas.openxmlformats.org/officeDocument/2006/relationships/hyperlink" Target="https://www.linkedin.com/learning/giving-computers-vision?trk=contentmappingfile" TargetMode="External"/><Relationship Id="rId236" Type="http://schemas.openxmlformats.org/officeDocument/2006/relationships/hyperlink" Target="https://www.linkedin.com/learning/microsoft-power-apps-ai-builder?trk=ondemandfile" TargetMode="External"/><Relationship Id="rId231" Type="http://schemas.openxmlformats.org/officeDocument/2006/relationships/hyperlink" Target="https://www.linkedin.com/learning/microsoft-live-events-teams-yammer-and-stream?trk=ondemandfile" TargetMode="External"/><Relationship Id="rId230" Type="http://schemas.openxmlformats.org/officeDocument/2006/relationships/hyperlink" Target="https://www.linkedin.com/learning/quickbooks-online-tips-and-tricks?trk=ondemandfile" TargetMode="External"/><Relationship Id="rId235" Type="http://schemas.openxmlformats.org/officeDocument/2006/relationships/hyperlink" Target="https://www.linkedin.com/learning/advanced-nlp-with-python-for-machine-learning?trk=ondemandfile" TargetMode="External"/><Relationship Id="rId234" Type="http://schemas.openxmlformats.org/officeDocument/2006/relationships/hyperlink" Target="https://www.linkedin.com/learning/penetration-testing-advanced-web-testing?trk=ondemandfile" TargetMode="External"/><Relationship Id="rId233" Type="http://schemas.openxmlformats.org/officeDocument/2006/relationships/hyperlink" Target="https://www.linkedin.com/learning/excel-for-banking-professionals?trk=ondemandfile" TargetMode="External"/><Relationship Id="rId232" Type="http://schemas.openxmlformats.org/officeDocument/2006/relationships/hyperlink" Target="https://www.linkedin.com/learning/excel-for-mac-advanced-formulas-and-functions-365-2019?trk=ondemandfile" TargetMode="External"/><Relationship Id="rId206" Type="http://schemas.openxmlformats.org/officeDocument/2006/relationships/hyperlink" Target="https://www.linkedin.com/learning/using-microsoft-teams-and-outlook-together-maximizing-productivity?trk=ondemandfile" TargetMode="External"/><Relationship Id="rId205" Type="http://schemas.openxmlformats.org/officeDocument/2006/relationships/hyperlink" Target="https://www.linkedin.com/learning/applied-ai-for-human-resources?trk=ondemandfile" TargetMode="External"/><Relationship Id="rId204" Type="http://schemas.openxmlformats.org/officeDocument/2006/relationships/hyperlink" Target="https://www.linkedin.com/learning/powerpoint-8-easy-ways-to-make-your-presentations-look-better?trk=ondemandfile" TargetMode="External"/><Relationship Id="rId203" Type="http://schemas.openxmlformats.org/officeDocument/2006/relationships/hyperlink" Target="https://www.linkedin.com/learning/autoscaling-your-application-with-microsoft-azure?trk=ondemandfile" TargetMode="External"/><Relationship Id="rId209" Type="http://schemas.openxmlformats.org/officeDocument/2006/relationships/hyperlink" Target="https://www.linkedin.com/learning/sscp-cert-prep-7-systems-and-application-security?trk=ondemandfile" TargetMode="External"/><Relationship Id="rId208" Type="http://schemas.openxmlformats.org/officeDocument/2006/relationships/hyperlink" Target="https://www.linkedin.com/learning/manage-apps-with-configuration-manager?trk=ondemandfile" TargetMode="External"/><Relationship Id="rId207" Type="http://schemas.openxmlformats.org/officeDocument/2006/relationships/hyperlink" Target="https://www.linkedin.com/learning/applied-ai-for-it-operations?trk=ondemandfile" TargetMode="External"/><Relationship Id="rId202" Type="http://schemas.openxmlformats.org/officeDocument/2006/relationships/hyperlink" Target="https://www.linkedin.com/learning/learning-sap-sd-sales-and-distribution?trk=ondemandfile" TargetMode="External"/><Relationship Id="rId201" Type="http://schemas.openxmlformats.org/officeDocument/2006/relationships/hyperlink" Target="https://www.linkedin.com/learning/access-2019-building-dashboards-for-excel?trk=ondemandfile" TargetMode="External"/><Relationship Id="rId200" Type="http://schemas.openxmlformats.org/officeDocument/2006/relationships/hyperlink" Target="https://www.linkedin.com/learning/learning-sap-mm-materials-management?trk=ondemandfile" TargetMode="External"/><Relationship Id="rId190" Type="http://schemas.openxmlformats.org/officeDocument/2006/relationships/hyperlink" Target="https://www.linkedin.com/learning/introduction-to-deep-learning-with-opencv?trk=ondemandfile" TargetMode="External"/><Relationship Id="rId194" Type="http://schemas.openxmlformats.org/officeDocument/2006/relationships/hyperlink" Target="https://www.linkedin.com/learning/google-sheets-essential-training-2021?trk=ondemandfile" TargetMode="External"/><Relationship Id="rId193" Type="http://schemas.openxmlformats.org/officeDocument/2006/relationships/hyperlink" Target="https://www.linkedin.com/learning/quickbooks-online-essential-training-2021?trk=ondemandfile" TargetMode="External"/><Relationship Id="rId192" Type="http://schemas.openxmlformats.org/officeDocument/2006/relationships/hyperlink" Target="https://www.linkedin.com/learning/microsoft-viva-first-look?trk=ondemandfile" TargetMode="External"/><Relationship Id="rId191" Type="http://schemas.openxmlformats.org/officeDocument/2006/relationships/hyperlink" Target="https://www.linkedin.com/learning/introduction-to-responsible-ai-algorithm-design?trk=ondemandfile" TargetMode="External"/><Relationship Id="rId187" Type="http://schemas.openxmlformats.org/officeDocument/2006/relationships/hyperlink" Target="https://www.linkedin.com/learning/agile-testing-2?trk=ondemandfile" TargetMode="External"/><Relationship Id="rId186" Type="http://schemas.openxmlformats.org/officeDocument/2006/relationships/hyperlink" Target="https://www.linkedin.com/learning/gmail-essential-training-2021?trk=ondemandfile" TargetMode="External"/><Relationship Id="rId185" Type="http://schemas.openxmlformats.org/officeDocument/2006/relationships/hyperlink" Target="https://www.linkedin.com/learning/blockchain-basics-14414119?trk=contentmappingfile" TargetMode="External"/><Relationship Id="rId184" Type="http://schemas.openxmlformats.org/officeDocument/2006/relationships/hyperlink" Target="https://www.linkedin.com/learning/first-5-things-you-have-to-do-to-start-a-business-as-a-creator?trk=ondemandfile" TargetMode="External"/><Relationship Id="rId189" Type="http://schemas.openxmlformats.org/officeDocument/2006/relationships/hyperlink" Target="https://www.linkedin.com/learning/building-recommender-systems-with-machine-learning-and-ai?trk=ondemandfile" TargetMode="External"/><Relationship Id="rId188" Type="http://schemas.openxmlformats.org/officeDocument/2006/relationships/hyperlink" Target="https://www.linkedin.com/learning/applied-machine-learning-essential-training?trk=ondemandfile" TargetMode="External"/><Relationship Id="rId183" Type="http://schemas.openxmlformats.org/officeDocument/2006/relationships/hyperlink" Target="https://www.linkedin.com/learning/introduction-to-network-routing?trk=ondemandfile" TargetMode="External"/><Relationship Id="rId182" Type="http://schemas.openxmlformats.org/officeDocument/2006/relationships/hyperlink" Target="https://www.linkedin.com/learning/buying-on-ariba-discovery?trk=ondemandfile" TargetMode="External"/><Relationship Id="rId181" Type="http://schemas.openxmlformats.org/officeDocument/2006/relationships/hyperlink" Target="https://www.linkedin.com/learning/learning-word-for-the-web-office-365-microsoft-365-2021?trk=ondemandfile" TargetMode="External"/><Relationship Id="rId180" Type="http://schemas.openxmlformats.org/officeDocument/2006/relationships/hyperlink" Target="https://www.linkedin.com/learning/how-to-be-more-inclusive?trk=ondemandfile" TargetMode="External"/><Relationship Id="rId176" Type="http://schemas.openxmlformats.org/officeDocument/2006/relationships/hyperlink" Target="https://www.linkedin.com/learning/change-management-plan-on-a-page?trk=ondemandfile" TargetMode="External"/><Relationship Id="rId175" Type="http://schemas.openxmlformats.org/officeDocument/2006/relationships/hyperlink" Target="https://www.linkedin.com/learning/learning-cloud-computing-the-cloud-and-devops?trk=ondemandfile" TargetMode="External"/><Relationship Id="rId174" Type="http://schemas.openxmlformats.org/officeDocument/2006/relationships/hyperlink" Target="https://www.linkedin.com/learning/preparing-yourself-for-change?trk=ondemandfile" TargetMode="External"/><Relationship Id="rId173" Type="http://schemas.openxmlformats.org/officeDocument/2006/relationships/hyperlink" Target="https://www.linkedin.com/learning/excel-power-query-for-beginners?trk=ondemandfile" TargetMode="External"/><Relationship Id="rId179" Type="http://schemas.openxmlformats.org/officeDocument/2006/relationships/hyperlink" Target="https://www.linkedin.com/learning/learning-powerpoint-for-the-web-office-365-microsoft-365-2021?trk=ondemandfile" TargetMode="External"/><Relationship Id="rId178" Type="http://schemas.openxmlformats.org/officeDocument/2006/relationships/hyperlink" Target="https://www.linkedin.com/learning/change-management-roadmap-to-execution?trk=ondemandfile" TargetMode="External"/><Relationship Id="rId177" Type="http://schemas.openxmlformats.org/officeDocument/2006/relationships/hyperlink" Target="https://www.linkedin.com/learning/learning-lucidchart?trk=ondemandfile" TargetMode="External"/><Relationship Id="rId198" Type="http://schemas.openxmlformats.org/officeDocument/2006/relationships/hyperlink" Target="https://www.linkedin.com/learning/migrating-from-universal-analytics-to-google-analytics-4?trk=ondemandfile" TargetMode="External"/><Relationship Id="rId197" Type="http://schemas.openxmlformats.org/officeDocument/2006/relationships/hyperlink" Target="https://www.linkedin.com/learning/google-analytics-ga4-audience-building-and-segmentation?trk=ondemandfile" TargetMode="External"/><Relationship Id="rId196" Type="http://schemas.openxmlformats.org/officeDocument/2006/relationships/hyperlink" Target="https://www.linkedin.com/learning/systems-thinking-for-product-designers?trk=ondemandfile" TargetMode="External"/><Relationship Id="rId195" Type="http://schemas.openxmlformats.org/officeDocument/2006/relationships/hyperlink" Target="https://www.linkedin.com/learning/simple-statistics-for-user-experience-projects?trk=ondemandfile" TargetMode="External"/><Relationship Id="rId199" Type="http://schemas.openxmlformats.org/officeDocument/2006/relationships/hyperlink" Target="https://www.linkedin.com/learning/learning-sap-production-planning?trk=ondemandfile" TargetMode="External"/><Relationship Id="rId150" Type="http://schemas.openxmlformats.org/officeDocument/2006/relationships/hyperlink" Target="https://www.linkedin.com/learning/adaptive-project-leadership?trk=ondemandfile" TargetMode="External"/><Relationship Id="rId149" Type="http://schemas.openxmlformats.org/officeDocument/2006/relationships/hyperlink" Target="https://www.linkedin.com/learning/aws-administration-tips-and-tricks?trk=ondemandfile" TargetMode="External"/><Relationship Id="rId148" Type="http://schemas.openxmlformats.org/officeDocument/2006/relationships/hyperlink" Target="https://www.linkedin.com/learning/managing-employee-stress-for-positive-change?trk=ondemandfile" TargetMode="External"/><Relationship Id="rId143" Type="http://schemas.openxmlformats.org/officeDocument/2006/relationships/hyperlink" Target="https://www.linkedin.com/learning/learning-java-applications-2?trk=ondemandfile" TargetMode="External"/><Relationship Id="rId142" Type="http://schemas.openxmlformats.org/officeDocument/2006/relationships/hyperlink" Target="https://www.linkedin.com/learning/strategies-to-foster-inclusive-language-at-work?trk=contentmappingfile" TargetMode="External"/><Relationship Id="rId141" Type="http://schemas.openxmlformats.org/officeDocument/2006/relationships/hyperlink" Target="https://www.linkedin.com/learning/learning-system-center-configuration-manager-2?trk=ondemandfile" TargetMode="External"/><Relationship Id="rId140" Type="http://schemas.openxmlformats.org/officeDocument/2006/relationships/hyperlink" Target="https://www.linkedin.com/learning/creating-safe-spaces-for-tough-conversations-at-work?trk=contentmappingfile" TargetMode="External"/><Relationship Id="rId147" Type="http://schemas.openxmlformats.org/officeDocument/2006/relationships/hyperlink" Target="https://www.linkedin.com/learning/introducing-robotic-process-automation?trk=ondemandfile" TargetMode="External"/><Relationship Id="rId146" Type="http://schemas.openxmlformats.org/officeDocument/2006/relationships/hyperlink" Target="https://www.linkedin.com/learning/being-your-own-fierce-self-advocate?trk=ondemandfile" TargetMode="External"/><Relationship Id="rId145" Type="http://schemas.openxmlformats.org/officeDocument/2006/relationships/hyperlink" Target="https://www.linkedin.com/learning/test-automation-foundations?trk=ondemandfile" TargetMode="External"/><Relationship Id="rId144" Type="http://schemas.openxmlformats.org/officeDocument/2006/relationships/hyperlink" Target="https://www.linkedin.com/learning/mixtape-highlights-from-linkedin-learning-courses?trk=ondemandfile" TargetMode="External"/><Relationship Id="rId139" Type="http://schemas.openxmlformats.org/officeDocument/2006/relationships/hyperlink" Target="https://www.linkedin.com/learning/understanding-augmented-and-virtual-reality-an-introduction?trk=ondemandfile" TargetMode="External"/><Relationship Id="rId138" Type="http://schemas.openxmlformats.org/officeDocument/2006/relationships/hyperlink" Target="https://www.linkedin.com/learning/how-to-lead-and-inspire-change?trk=ondemandfile" TargetMode="External"/><Relationship Id="rId137" Type="http://schemas.openxmlformats.org/officeDocument/2006/relationships/hyperlink" Target="https://www.linkedin.com/learning/planning-basics-in-sap?trk=ondemandfile" TargetMode="External"/><Relationship Id="rId132" Type="http://schemas.openxmlformats.org/officeDocument/2006/relationships/hyperlink" Target="https://www.linkedin.com/learning/demystifying-company-culture?trk=ondemandfile" TargetMode="External"/><Relationship Id="rId131" Type="http://schemas.openxmlformats.org/officeDocument/2006/relationships/hyperlink" Target="https://www.linkedin.com/learning/framing-cloud-discussions-for-the-c-suite?trk=ondemandfile" TargetMode="External"/><Relationship Id="rId130" Type="http://schemas.openxmlformats.org/officeDocument/2006/relationships/hyperlink" Target="https://www.linkedin.com/learning/advocating-for-change-in-your-organization?trk=ondemandfile" TargetMode="External"/><Relationship Id="rId136" Type="http://schemas.openxmlformats.org/officeDocument/2006/relationships/hyperlink" Target="https://www.linkedin.com/learning/change-management-tips-for-individuals?trk=ondemandfile" TargetMode="External"/><Relationship Id="rId135" Type="http://schemas.openxmlformats.org/officeDocument/2006/relationships/hyperlink" Target="https://www.linkedin.com/learning/craft-a-great-github-profile?trk=ondemandfile" TargetMode="External"/><Relationship Id="rId134" Type="http://schemas.openxmlformats.org/officeDocument/2006/relationships/hyperlink" Target="https://www.linkedin.com/learning/creating-a-great-place-to-work-for-all?trk=ondemandfile" TargetMode="External"/><Relationship Id="rId133" Type="http://schemas.openxmlformats.org/officeDocument/2006/relationships/hyperlink" Target="https://www.linkedin.com/learning/sap-business-one-production-and-logistics?trk=ondemandfile" TargetMode="External"/><Relationship Id="rId172" Type="http://schemas.openxmlformats.org/officeDocument/2006/relationships/hyperlink" Target="https://www.linkedin.com/learning/mastering-self-leadership?trk=ondemandfile" TargetMode="External"/><Relationship Id="rId171" Type="http://schemas.openxmlformats.org/officeDocument/2006/relationships/hyperlink" Target="https://www.linkedin.com/learning/excel-macros-and-vba-for-beginners?trk=ondemandfile" TargetMode="External"/><Relationship Id="rId170" Type="http://schemas.openxmlformats.org/officeDocument/2006/relationships/hyperlink" Target="https://www.linkedin.com/learning/driving-change-and-anti-racism?trk=ondemandfile" TargetMode="External"/><Relationship Id="rId165" Type="http://schemas.openxmlformats.org/officeDocument/2006/relationships/hyperlink" Target="https://www.linkedin.com/learning/working-with-computers-and-devices?trk=ondemandfile" TargetMode="External"/><Relationship Id="rId164" Type="http://schemas.openxmlformats.org/officeDocument/2006/relationships/hyperlink" Target="https://www.linkedin.com/learning/the-employee-s-guide-to-sustainability?trk=ondemandfile" TargetMode="External"/><Relationship Id="rId163" Type="http://schemas.openxmlformats.org/officeDocument/2006/relationships/hyperlink" Target="https://www.linkedin.com/learning/working-and-collaborating-online?trk=ondemandfile" TargetMode="External"/><Relationship Id="rId162" Type="http://schemas.openxmlformats.org/officeDocument/2006/relationships/hyperlink" Target="https://www.linkedin.com/learning/closing-the-green-skills-gap-to-power-a-greener-economy?trk=ondemandfile" TargetMode="External"/><Relationship Id="rId169" Type="http://schemas.openxmlformats.org/officeDocument/2006/relationships/hyperlink" Target="https://www.linkedin.com/learning/getting-started-with-live-streaming?trk=ondemandfile" TargetMode="External"/><Relationship Id="rId168" Type="http://schemas.openxmlformats.org/officeDocument/2006/relationships/hyperlink" Target="https://www.linkedin.com/learning/reframing-organizations-blinkist-summary?trk=ondemandfile" TargetMode="External"/><Relationship Id="rId167" Type="http://schemas.openxmlformats.org/officeDocument/2006/relationships/hyperlink" Target="https://www.linkedin.com/learning/foundations-of-enterprise-content-management?trk=ondemandfile" TargetMode="External"/><Relationship Id="rId166" Type="http://schemas.openxmlformats.org/officeDocument/2006/relationships/hyperlink" Target="https://www.linkedin.com/learning/design-of-podcast-emily-cohen-consultant-speaker-brutally-honest?trk=ondemandfile" TargetMode="External"/><Relationship Id="rId161" Type="http://schemas.openxmlformats.org/officeDocument/2006/relationships/hyperlink" Target="https://www.linkedin.com/learning/software-development-life-cycle-sdlc?trk=ondemandfile" TargetMode="External"/><Relationship Id="rId160" Type="http://schemas.openxmlformats.org/officeDocument/2006/relationships/hyperlink" Target="https://www.linkedin.com/learning/leading-in-uncertain-times?trk=ondemandfile" TargetMode="External"/><Relationship Id="rId159" Type="http://schemas.openxmlformats.org/officeDocument/2006/relationships/hyperlink" Target="https://www.linkedin.com/learning/succeeding-in-web-development-full-stack-and-front-end?trk=ondemandfile" TargetMode="External"/><Relationship Id="rId154" Type="http://schemas.openxmlformats.org/officeDocument/2006/relationships/hyperlink" Target="https://www.linkedin.com/learning/leading-with-kindness-and-strength?trk=ondemandfile" TargetMode="External"/><Relationship Id="rId153" Type="http://schemas.openxmlformats.org/officeDocument/2006/relationships/hyperlink" Target="https://www.linkedin.com/learning/machine-learning-in-mobile-applications?trk=ondemandfile" TargetMode="External"/><Relationship Id="rId152" Type="http://schemas.openxmlformats.org/officeDocument/2006/relationships/hyperlink" Target="https://www.linkedin.com/learning/enhancing-team-innovation?trk=ondemandfile" TargetMode="External"/><Relationship Id="rId151" Type="http://schemas.openxmlformats.org/officeDocument/2006/relationships/hyperlink" Target="https://www.linkedin.com/learning/applied-machine-learning-algorithms?trk=ondemandfile" TargetMode="External"/><Relationship Id="rId158" Type="http://schemas.openxmlformats.org/officeDocument/2006/relationships/hyperlink" Target="https://www.linkedin.com/learning/how-to-innovate-and-stay-relevant-in-times-of-change-and-uncertainty?trk=ondemandfile" TargetMode="External"/><Relationship Id="rId157" Type="http://schemas.openxmlformats.org/officeDocument/2006/relationships/hyperlink" Target="https://www.linkedin.com/learning/introducing-ai-to-your-organization?trk=ondemandfile" TargetMode="External"/><Relationship Id="rId156" Type="http://schemas.openxmlformats.org/officeDocument/2006/relationships/hyperlink" Target="https://www.linkedin.com/learning/communicating-an-enterprise-wide-transformation?trk=ondemandfile" TargetMode="External"/><Relationship Id="rId155" Type="http://schemas.openxmlformats.org/officeDocument/2006/relationships/hyperlink" Target="https://www.linkedin.com/learning/machine-learning-ai-foundations-predictive-modeling-strategy-at-scale?trk=ondemandfile" TargetMode="External"/><Relationship Id="rId107" Type="http://schemas.openxmlformats.org/officeDocument/2006/relationships/hyperlink" Target="https://www.linkedin.com/learning/conversations-on-cryptography?trk=ondemandfile" TargetMode="External"/><Relationship Id="rId106" Type="http://schemas.openxmlformats.org/officeDocument/2006/relationships/hyperlink" Target="https://www.linkedin.com/learning/how-to-support-your-employees-well-being?trk=ondemandfile" TargetMode="External"/><Relationship Id="rId105" Type="http://schemas.openxmlformats.org/officeDocument/2006/relationships/hyperlink" Target="https://www.linkedin.com/learning/paths/master-microsoft-excel?trk=ondemandfile" TargetMode="External"/><Relationship Id="rId104" Type="http://schemas.openxmlformats.org/officeDocument/2006/relationships/hyperlink" Target="https://www.linkedin.com/learning/microsoft-dynamics-365-essential-training-2021?trk=ondemandfile" TargetMode="External"/><Relationship Id="rId109" Type="http://schemas.openxmlformats.org/officeDocument/2006/relationships/hyperlink" Target="https://www.linkedin.com/learning/change-management-tips-for-leaders?trk=ondemandfile" TargetMode="External"/><Relationship Id="rId108" Type="http://schemas.openxmlformats.org/officeDocument/2006/relationships/hyperlink" Target="https://www.linkedin.com/learning/paths/master-microsoft-onenote?trk=ondemandfile" TargetMode="External"/><Relationship Id="rId103" Type="http://schemas.openxmlformats.org/officeDocument/2006/relationships/hyperlink" Target="https://www.linkedin.com/learning/managing-organizational-change-for-managers?trk=ondemandfile" TargetMode="External"/><Relationship Id="rId102" Type="http://schemas.openxmlformats.org/officeDocument/2006/relationships/hyperlink" Target="https://www.linkedin.com/learning/paths/master-digital-transformation?trk=ondemandfile" TargetMode="External"/><Relationship Id="rId101" Type="http://schemas.openxmlformats.org/officeDocument/2006/relationships/hyperlink" Target="https://www.linkedin.com/learning/learning-claris-connect-2021?trk=ondemandfile" TargetMode="External"/><Relationship Id="rId100" Type="http://schemas.openxmlformats.org/officeDocument/2006/relationships/hyperlink" Target="https://www.linkedin.com/learning/leading-your-team-through-actionable-change?trk=ondemandfile" TargetMode="External"/><Relationship Id="rId129" Type="http://schemas.openxmlformats.org/officeDocument/2006/relationships/hyperlink" Target="https://www.linkedin.com/learning/paths/working-smarter-with-microsoft-365?trk=ondemandfile" TargetMode="External"/><Relationship Id="rId128" Type="http://schemas.openxmlformats.org/officeDocument/2006/relationships/hyperlink" Target="https://www.linkedin.com/learning/scrollytelling-creating-a-one-page-web-experience?trk=ondemandfile" TargetMode="External"/><Relationship Id="rId127" Type="http://schemas.openxmlformats.org/officeDocument/2006/relationships/hyperlink" Target="https://www.linkedin.com/learning/guy-kawasaki-on-turning-life-wisd-om-into-business-success?trk=ondemandfile" TargetMode="External"/><Relationship Id="rId126" Type="http://schemas.openxmlformats.org/officeDocument/2006/relationships/hyperlink" Target="https://www.linkedin.com/learning/paths/succeed-as-a-remote-software-developer?trk=ondemandfile" TargetMode="External"/><Relationship Id="rId121" Type="http://schemas.openxmlformats.org/officeDocument/2006/relationships/hyperlink" Target="https://www.linkedin.com/learning/women-transforming-tech-breaking-in-and-staying-in-the-industry?trk=ondemandfile" TargetMode="External"/><Relationship Id="rId120" Type="http://schemas.openxmlformats.org/officeDocument/2006/relationships/hyperlink" Target="https://www.linkedin.com/learning/paths/prepare-for-the-word-2013-microsoft-office-specialist-mos-expert-exam?trk=ondemandfile" TargetMode="External"/><Relationship Id="rId125" Type="http://schemas.openxmlformats.org/officeDocument/2006/relationships/hyperlink" Target="https://www.linkedin.com/learning/crisc-cert-prep-1-it-risk-identification?trk=ondemandfile" TargetMode="External"/><Relationship Id="rId124" Type="http://schemas.openxmlformats.org/officeDocument/2006/relationships/hyperlink" Target="https://www.linkedin.com/learning/women-transforming-tech-breaking-bias-2?trk=ondemandfile" TargetMode="External"/><Relationship Id="rId123" Type="http://schemas.openxmlformats.org/officeDocument/2006/relationships/hyperlink" Target="https://www.linkedin.com/learning/paths/succeed-as-a-remote-it-administrator?trk=ondemandfile" TargetMode="External"/><Relationship Id="rId122" Type="http://schemas.openxmlformats.org/officeDocument/2006/relationships/hyperlink" Target="https://www.linkedin.com/learning/sap-successfactors-performance-and-goals-management?trk=ondemandfile" TargetMode="External"/><Relationship Id="rId118" Type="http://schemas.openxmlformats.org/officeDocument/2006/relationships/hyperlink" Target="https://www.linkedin.com/learning/embracing-change-2019?trk=ondemandfile" TargetMode="External"/><Relationship Id="rId117" Type="http://schemas.openxmlformats.org/officeDocument/2006/relationships/hyperlink" Target="https://www.linkedin.com/learning/paths/prepare-for-the-excel-2013-microsoft-office-specialist-mos-expert-exam?trk=ondemandfile" TargetMode="External"/><Relationship Id="rId116" Type="http://schemas.openxmlformats.org/officeDocument/2006/relationships/hyperlink" Target="https://www.linkedin.com/learning/creating-accessible-pdfs-14445392?trk=contentmappingfile" TargetMode="External"/><Relationship Id="rId115" Type="http://schemas.openxmlformats.org/officeDocument/2006/relationships/hyperlink" Target="https://www.linkedin.com/learning/developing-a-learning-mindset?trk=ondemandfile" TargetMode="External"/><Relationship Id="rId119" Type="http://schemas.openxmlformats.org/officeDocument/2006/relationships/hyperlink" Target="https://www.linkedin.com/learning/asset-accounting-acquisitions-in-sap-s-4hana?trk=ondemandfile" TargetMode="External"/><Relationship Id="rId110" Type="http://schemas.openxmlformats.org/officeDocument/2006/relationships/hyperlink" Target="https://www.linkedin.com/learning/iot-foundations-standards-and-ecosystems-14427225?trk=contentmappingfile" TargetMode="External"/><Relationship Id="rId114" Type="http://schemas.openxmlformats.org/officeDocument/2006/relationships/hyperlink" Target="https://www.linkedin.com/learning/paths/master-microsoft-word?trk=ondemandfile" TargetMode="External"/><Relationship Id="rId113" Type="http://schemas.openxmlformats.org/officeDocument/2006/relationships/hyperlink" Target="https://www.linkedin.com/learning/facilitating-remote-design-thinking?trk=contentmappingfile" TargetMode="External"/><Relationship Id="rId112" Type="http://schemas.openxmlformats.org/officeDocument/2006/relationships/hyperlink" Target="https://www.linkedin.com/learning/cultivating-a-growth-mindset?trk=ondemandfile" TargetMode="External"/><Relationship Id="rId111" Type="http://schemas.openxmlformats.org/officeDocument/2006/relationships/hyperlink" Target="https://www.linkedin.com/learning/paths/master-microsoft-outlook?trk=ondemandfile"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linkedin.com/learning/privacy-for-executives?trk=ondemandfile" TargetMode="External"/><Relationship Id="rId2" Type="http://schemas.openxmlformats.org/officeDocument/2006/relationships/hyperlink" Target="https://www.linkedin.com/learning/paths/build-a-company-learning-and-development-program?trk=ondemandfile" TargetMode="External"/><Relationship Id="rId3" Type="http://schemas.openxmlformats.org/officeDocument/2006/relationships/hyperlink" Target="https://www.linkedin.com/learning/leading-the-organization-monthly?trk=ondemandfile" TargetMode="External"/><Relationship Id="rId4" Type="http://schemas.openxmlformats.org/officeDocument/2006/relationships/hyperlink" Target="https://www.linkedin.com/learning/paths/advance-your-skills-as-a-manager?trk=ondemandfile" TargetMode="External"/><Relationship Id="rId9" Type="http://schemas.openxmlformats.org/officeDocument/2006/relationships/hyperlink" Target="https://www.linkedin.com/learning/leadership-stories-5-minute-lessons-in-leading-people?trk=ondemandfile" TargetMode="External"/><Relationship Id="rId5" Type="http://schemas.openxmlformats.org/officeDocument/2006/relationships/hyperlink" Target="https://www.linkedin.com/learning/ryan-holmes-on-social-leadership?trk=ondemandfile" TargetMode="External"/><Relationship Id="rId6" Type="http://schemas.openxmlformats.org/officeDocument/2006/relationships/hyperlink" Target="https://www.linkedin.com/learning/paths/become-an-inclusive-leader?trk=ondemandfile" TargetMode="External"/><Relationship Id="rId7" Type="http://schemas.openxmlformats.org/officeDocument/2006/relationships/hyperlink" Target="https://www.linkedin.com/learning/the-new-rules-of-work?trk=ondemandfile" TargetMode="External"/><Relationship Id="rId8" Type="http://schemas.openxmlformats.org/officeDocument/2006/relationships/hyperlink" Target="https://www.linkedin.com/learning/paths/become-a-manager?trk=ondemandfile" TargetMode="External"/><Relationship Id="rId40" Type="http://schemas.openxmlformats.org/officeDocument/2006/relationships/hyperlink" Target="https://www.linkedin.com/learning/vision-in-action-leaders-live-case-studies?trk=ondemandfile" TargetMode="External"/><Relationship Id="rId42" Type="http://schemas.openxmlformats.org/officeDocument/2006/relationships/hyperlink" Target="https://www.linkedin.com/learning/leading-the-organization-monthly?trk=ondemandfile" TargetMode="External"/><Relationship Id="rId41" Type="http://schemas.openxmlformats.org/officeDocument/2006/relationships/hyperlink" Target="https://www.linkedin.com/learning/how-to-give-and-receive-useful-feedback-every-month?trk=ondemandfile" TargetMode="External"/><Relationship Id="rId44" Type="http://schemas.openxmlformats.org/officeDocument/2006/relationships/hyperlink" Target="https://www.linkedin.com/learning/cmo-foundations-working-with-leadership-and-board-of-directors?trk=ondemandfile" TargetMode="External"/><Relationship Id="rId43" Type="http://schemas.openxmlformats.org/officeDocument/2006/relationships/hyperlink" Target="https://www.linkedin.com/learning/simple-manager-tools-that-cure-the-under-management-epi-demic?trk=ondemandfile" TargetMode="External"/><Relationship Id="rId46" Type="http://schemas.openxmlformats.org/officeDocument/2006/relationships/hyperlink" Target="https://www.linkedin.com/learning/leading-organizations-ten-timeless-truths-getabstract-summary?trk=ondemandfile" TargetMode="External"/><Relationship Id="rId45" Type="http://schemas.openxmlformats.org/officeDocument/2006/relationships/hyperlink" Target="https://www.linkedin.com/learning/implementing-continuous-impro-vement-a-case-study?trk=ondemandfile" TargetMode="External"/><Relationship Id="rId48" Type="http://schemas.openxmlformats.org/officeDocument/2006/relationships/hyperlink" Target="https://www.linkedin.com/learning/the-7-secrets-of-responsive-leadership-getabstract-summary?trk=ondemandfile" TargetMode="External"/><Relationship Id="rId47" Type="http://schemas.openxmlformats.org/officeDocument/2006/relationships/hyperlink" Target="https://www.linkedin.com/learning/culture-of-kaizen?trk=ondemandfile" TargetMode="External"/><Relationship Id="rId49" Type="http://schemas.openxmlformats.org/officeDocument/2006/relationships/hyperlink" Target="https://www.linkedin.com/learning/managers-as-multipliers-of-well-being?trk=ondemandfile" TargetMode="External"/><Relationship Id="rId31" Type="http://schemas.openxmlformats.org/officeDocument/2006/relationships/hyperlink" Target="https://www.linkedin.com/learning/managing-new-managers?trk=ondemandfile" TargetMode="External"/><Relationship Id="rId30" Type="http://schemas.openxmlformats.org/officeDocument/2006/relationships/hyperlink" Target="https://www.linkedin.com/learning/paths/master-in-demand-skills-for-technology-leadership?trk=ondemandfile" TargetMode="External"/><Relationship Id="rId33" Type="http://schemas.openxmlformats.org/officeDocument/2006/relationships/hyperlink" Target="https://www.linkedin.com/learning/counterintuitive-leadership-strategies-for-a-vuca-environment?trk=ondemandfile" TargetMode="External"/><Relationship Id="rId32" Type="http://schemas.openxmlformats.org/officeDocument/2006/relationships/hyperlink" Target="https://www.linkedin.com/learning/paths/managing-others-effectively-3?trk=ondemandfile" TargetMode="External"/><Relationship Id="rId35" Type="http://schemas.openxmlformats.org/officeDocument/2006/relationships/hyperlink" Target="https://www.linkedin.com/learning/coaching-new-managers?trk=ondemandfile" TargetMode="External"/><Relationship Id="rId34" Type="http://schemas.openxmlformats.org/officeDocument/2006/relationships/hyperlink" Target="https://www.linkedin.com/learning/paths/remote-working-setting-yourself-and-your-teams-up-for-success?trk=ondemandfile" TargetMode="External"/><Relationship Id="rId37" Type="http://schemas.openxmlformats.org/officeDocument/2006/relationships/hyperlink" Target="https://www.linkedin.com/learning/leading-change-2018?trk=ondemandfile" TargetMode="External"/><Relationship Id="rId36" Type="http://schemas.openxmlformats.org/officeDocument/2006/relationships/hyperlink" Target="https://www.linkedin.com/learning/paths/managing-performance?trk=ondemandfile" TargetMode="External"/><Relationship Id="rId39" Type="http://schemas.openxmlformats.org/officeDocument/2006/relationships/hyperlink" Target="https://www.linkedin.com/learning/paths/master-in-demand-professional-soft-skills?trk=ondemandfile" TargetMode="External"/><Relationship Id="rId38" Type="http://schemas.openxmlformats.org/officeDocument/2006/relationships/hyperlink" Target="https://www.linkedin.com/learning/how-to-set-team-and-employee-goals?trk=ondemandfile" TargetMode="External"/><Relationship Id="rId20" Type="http://schemas.openxmlformats.org/officeDocument/2006/relationships/hyperlink" Target="https://www.linkedin.com/learning/paths/grow-your-impact-as-a-mentor?trk=ondemandfile" TargetMode="External"/><Relationship Id="rId22" Type="http://schemas.openxmlformats.org/officeDocument/2006/relationships/hyperlink" Target="https://www.linkedin.com/learning/paths/leading-others-effectively?trk=ondemandfile" TargetMode="External"/><Relationship Id="rId21" Type="http://schemas.openxmlformats.org/officeDocument/2006/relationships/hyperlink" Target="https://www.linkedin.com/learning/doing-good-to-build-a-profitable-business?trk=ondemandfile" TargetMode="External"/><Relationship Id="rId24" Type="http://schemas.openxmlformats.org/officeDocument/2006/relationships/hyperlink" Target="https://www.linkedin.com/learning/paths/improve-your-coaching-skills-as-a-manager?trk=ondemandfile" TargetMode="External"/><Relationship Id="rId23" Type="http://schemas.openxmlformats.org/officeDocument/2006/relationships/hyperlink" Target="https://www.linkedin.com/learning/creating-the-conditions-for-others-to-thrive?trk=ondemandfile" TargetMode="External"/><Relationship Id="rId26" Type="http://schemas.openxmlformats.org/officeDocument/2006/relationships/hyperlink" Target="https://www.linkedin.com/learning/paths/linkedin-manager-to-leader?trk=ondemandfile" TargetMode="External"/><Relationship Id="rId25" Type="http://schemas.openxmlformats.org/officeDocument/2006/relationships/hyperlink" Target="https://www.linkedin.com/learning/good-to-great?trk=ondemandfile" TargetMode="External"/><Relationship Id="rId28" Type="http://schemas.openxmlformats.org/officeDocument/2006/relationships/hyperlink" Target="https://www.linkedin.com/learning/paths/managing-and-leading-developers?trk=ondemandfile" TargetMode="External"/><Relationship Id="rId27" Type="http://schemas.openxmlformats.org/officeDocument/2006/relationships/hyperlink" Target="https://www.linkedin.com/learning/employee-experience?trk=ondemandfile" TargetMode="External"/><Relationship Id="rId29" Type="http://schemas.openxmlformats.org/officeDocument/2006/relationships/hyperlink" Target="https://www.linkedin.com/learning/lean-technology-strategy-purposeful-organizations?trk=ondemandfile" TargetMode="External"/><Relationship Id="rId11" Type="http://schemas.openxmlformats.org/officeDocument/2006/relationships/hyperlink" Target="https://www.linkedin.com/learning/managing-globally?trk=ondemandfile" TargetMode="External"/><Relationship Id="rId10" Type="http://schemas.openxmlformats.org/officeDocument/2006/relationships/hyperlink" Target="https://www.linkedin.com/learning/paths/become-a-leader?trk=ondemandfile" TargetMode="External"/><Relationship Id="rId13" Type="http://schemas.openxmlformats.org/officeDocument/2006/relationships/hyperlink" Target="https://www.linkedin.com/learning/leading-with-innovation?trk=ondemandfile" TargetMode="External"/><Relationship Id="rId12" Type="http://schemas.openxmlformats.org/officeDocument/2006/relationships/hyperlink" Target="https://www.linkedin.com/learning/paths/become-a-senior-manager?trk=ondemandfile" TargetMode="External"/><Relationship Id="rId15" Type="http://schemas.openxmlformats.org/officeDocument/2006/relationships/hyperlink" Target="https://www.linkedin.com/learning/talent-management?trk=ondemandfile" TargetMode="External"/><Relationship Id="rId14" Type="http://schemas.openxmlformats.org/officeDocument/2006/relationships/hyperlink" Target="https://www.linkedin.com/learning/paths/become-a-thought-leader?trk=ondemandfile" TargetMode="External"/><Relationship Id="rId17" Type="http://schemas.openxmlformats.org/officeDocument/2006/relationships/hyperlink" Target="https://www.linkedin.com/learning/inclusive-leadership?trk=ondemandfile" TargetMode="External"/><Relationship Id="rId16" Type="http://schemas.openxmlformats.org/officeDocument/2006/relationships/hyperlink" Target="https://www.linkedin.com/learning/paths/develop-motivate-and-retain-employees?trk=ondemandfile" TargetMode="External"/><Relationship Id="rId19" Type="http://schemas.openxmlformats.org/officeDocument/2006/relationships/hyperlink" Target="https://www.linkedin.com/learning/goal-setting-objectives-and-key-results-okrs?trk=ondemandfile" TargetMode="External"/><Relationship Id="rId18" Type="http://schemas.openxmlformats.org/officeDocument/2006/relationships/hyperlink" Target="https://www.linkedin.com/learning/paths/diversity-inclusion-and-belonging-for-leaders-and-managers?trk=ondemandfile" TargetMode="External"/><Relationship Id="rId84" Type="http://schemas.openxmlformats.org/officeDocument/2006/relationships/hyperlink" Target="https://www.linkedin.com/learning/emerging-leader-foundations?trk=ondemandfile" TargetMode="External"/><Relationship Id="rId83" Type="http://schemas.openxmlformats.org/officeDocument/2006/relationships/hyperlink" Target="https://www.linkedin.com/learning/managing-generation-z?trk=ondemandfile" TargetMode="External"/><Relationship Id="rId86" Type="http://schemas.openxmlformats.org/officeDocument/2006/relationships/hyperlink" Target="https://www.linkedin.com/learning/leadership-foundations-leadership-styles-and-models?trk=ondemandfile" TargetMode="External"/><Relationship Id="rId85" Type="http://schemas.openxmlformats.org/officeDocument/2006/relationships/hyperlink" Target="https://www.linkedin.com/learning/coaching-employees-through-difficult-situations?trk=ondemandfile" TargetMode="External"/><Relationship Id="rId88" Type="http://schemas.openxmlformats.org/officeDocument/2006/relationships/hyperlink" Target="https://www.linkedin.com/learning/leadership-practical-skills?trk=ondemandfile" TargetMode="External"/><Relationship Id="rId87" Type="http://schemas.openxmlformats.org/officeDocument/2006/relationships/hyperlink" Target="https://www.linkedin.com/learning/developing-executive-presence?trk=ondemandfile" TargetMode="External"/><Relationship Id="rId89" Type="http://schemas.openxmlformats.org/officeDocument/2006/relationships/hyperlink" Target="https://www.linkedin.com/learning/developing-leaders-on-your-team?trk=ondemandfile" TargetMode="External"/><Relationship Id="rId80" Type="http://schemas.openxmlformats.org/officeDocument/2006/relationships/hyperlink" Target="https://www.linkedin.com/learning/using-emotions-to-leverage-and-accelerate-change-a-guide-for-leaders?trk=ondemandfile" TargetMode="External"/><Relationship Id="rId82" Type="http://schemas.openxmlformats.org/officeDocument/2006/relationships/hyperlink" Target="https://www.linkedin.com/learning/ken-blanchard-on-servant-leadership?trk=ondemandfile" TargetMode="External"/><Relationship Id="rId81" Type="http://schemas.openxmlformats.org/officeDocument/2006/relationships/hyperlink" Target="https://www.linkedin.com/learning/delegating-tasks?trk=ondemandfile" TargetMode="External"/><Relationship Id="rId73" Type="http://schemas.openxmlformats.org/officeDocument/2006/relationships/hyperlink" Target="https://www.linkedin.com/learning/managing-introverts?trk=ondemandfile" TargetMode="External"/><Relationship Id="rId72" Type="http://schemas.openxmlformats.org/officeDocument/2006/relationships/hyperlink" Target="https://www.linkedin.com/learning/taking-charge-of-your-leadership-conversations?trk=ondemandfile" TargetMode="External"/><Relationship Id="rId75" Type="http://schemas.openxmlformats.org/officeDocument/2006/relationships/hyperlink" Target="https://www.linkedin.com/learning/coaching-new-hires?trk=ondemandfile" TargetMode="External"/><Relationship Id="rId74" Type="http://schemas.openxmlformats.org/officeDocument/2006/relationships/hyperlink" Target="https://www.linkedin.com/learning/executive-influence?trk=ondemandfile" TargetMode="External"/><Relationship Id="rId77" Type="http://schemas.openxmlformats.org/officeDocument/2006/relationships/hyperlink" Target="https://www.linkedin.com/learning/be-the-manager-people-won-t-leave?trk=ondemandfile" TargetMode="External"/><Relationship Id="rId76" Type="http://schemas.openxmlformats.org/officeDocument/2006/relationships/hyperlink" Target="https://www.linkedin.com/learning/leading-with-vision?trk=ondemandfile" TargetMode="External"/><Relationship Id="rId79" Type="http://schemas.openxmlformats.org/officeDocument/2006/relationships/hyperlink" Target="https://www.linkedin.com/learning/managing-up-down-and-across-the-organization-14407231?trk=contentmappingfile" TargetMode="External"/><Relationship Id="rId78" Type="http://schemas.openxmlformats.org/officeDocument/2006/relationships/hyperlink" Target="https://www.linkedin.com/learning/sanyin-siang-on-strategic-mentoring?trk=ondemandfile" TargetMode="External"/><Relationship Id="rId71" Type="http://schemas.openxmlformats.org/officeDocument/2006/relationships/hyperlink" Target="https://www.linkedin.com/learning/building-change-capability-for-managers?trk=ondemandfile" TargetMode="External"/><Relationship Id="rId70" Type="http://schemas.openxmlformats.org/officeDocument/2006/relationships/hyperlink" Target="https://www.linkedin.com/learning/leading-with-values?trk=ondemandfile" TargetMode="External"/><Relationship Id="rId62" Type="http://schemas.openxmlformats.org/officeDocument/2006/relationships/hyperlink" Target="https://www.linkedin.com/learning/human-centered-leadership?trk=ondemandfile" TargetMode="External"/><Relationship Id="rId61" Type="http://schemas.openxmlformats.org/officeDocument/2006/relationships/hyperlink" Target="https://www.linkedin.com/learning/coaching-and-developing-employees-2019?trk=ondemandfile" TargetMode="External"/><Relationship Id="rId64" Type="http://schemas.openxmlformats.org/officeDocument/2006/relationships/hyperlink" Target="https://www.linkedin.com/learning/building-resilience-as-a-leader?trk=ondemandfile" TargetMode="External"/><Relationship Id="rId63" Type="http://schemas.openxmlformats.org/officeDocument/2006/relationships/hyperlink" Target="https://www.linkedin.com/learning/management-top-tips?trk=ondemandfile" TargetMode="External"/><Relationship Id="rId66" Type="http://schemas.openxmlformats.org/officeDocument/2006/relationships/hyperlink" Target="https://www.linkedin.com/learning/leading-with-purpose?trk=ondemandfile" TargetMode="External"/><Relationship Id="rId65" Type="http://schemas.openxmlformats.org/officeDocument/2006/relationships/hyperlink" Target="https://www.linkedin.com/learning/managing-teams-2018?trk=ondemandfile" TargetMode="External"/><Relationship Id="rId68" Type="http://schemas.openxmlformats.org/officeDocument/2006/relationships/hyperlink" Target="https://www.linkedin.com/learning/navigating-executive-politics?trk=ondemandfile" TargetMode="External"/><Relationship Id="rId67" Type="http://schemas.openxmlformats.org/officeDocument/2006/relationships/hyperlink" Target="https://www.linkedin.com/learning/managing-temporary-and-contract-employees?trk=ondemandfile" TargetMode="External"/><Relationship Id="rId60" Type="http://schemas.openxmlformats.org/officeDocument/2006/relationships/hyperlink" Target="https://www.linkedin.com/learning/executive-leadership?trk=ondemandfile" TargetMode="External"/><Relationship Id="rId69" Type="http://schemas.openxmlformats.org/officeDocument/2006/relationships/hyperlink" Target="https://www.linkedin.com/learning/motivating-and-engaging-employees-2?trk=ondemandfile" TargetMode="External"/><Relationship Id="rId51" Type="http://schemas.openxmlformats.org/officeDocument/2006/relationships/hyperlink" Target="https://www.linkedin.com/learning/motivate-remote-teams?trk=ondemandfile" TargetMode="External"/><Relationship Id="rId50" Type="http://schemas.openxmlformats.org/officeDocument/2006/relationships/hyperlink" Target="https://www.linkedin.com/learning/transition-from-manager-to-leader?trk=ondemandfile" TargetMode="External"/><Relationship Id="rId53" Type="http://schemas.openxmlformats.org/officeDocument/2006/relationships/hyperlink" Target="https://www.linkedin.com/learning/identify-and-unleash-potential-in-your-employees?trk=ondemandfile" TargetMode="External"/><Relationship Id="rId52" Type="http://schemas.openxmlformats.org/officeDocument/2006/relationships/hyperlink" Target="https://www.linkedin.com/learning/transformational-leadership?trk=ondemandfile" TargetMode="External"/><Relationship Id="rId55" Type="http://schemas.openxmlformats.org/officeDocument/2006/relationships/hyperlink" Target="https://www.linkedin.com/learning/new-manager-foundations-2?trk=ondemandfile" TargetMode="External"/><Relationship Id="rId54" Type="http://schemas.openxmlformats.org/officeDocument/2006/relationships/hyperlink" Target="https://www.linkedin.com/learning/hr-and-digital-transformation?trk=ondemandfile" TargetMode="External"/><Relationship Id="rId57" Type="http://schemas.openxmlformats.org/officeDocument/2006/relationships/hyperlink" Target="https://www.linkedin.com/learning/performance-management-setting-goals-and-managing-performance?trk=ondemandfile" TargetMode="External"/><Relationship Id="rId56" Type="http://schemas.openxmlformats.org/officeDocument/2006/relationships/hyperlink" Target="https://www.linkedin.com/learning/collaborative-leadership?trk=ondemandfile" TargetMode="External"/><Relationship Id="rId59" Type="http://schemas.openxmlformats.org/officeDocument/2006/relationships/hyperlink" Target="https://www.linkedin.com/learning/leading-virtual-meetings?trk=ondemandfile" TargetMode="External"/><Relationship Id="rId58" Type="http://schemas.openxmlformats.org/officeDocument/2006/relationships/hyperlink" Target="https://www.linkedin.com/learning/executive-decision-making?trk=ondemandfile" TargetMode="External"/><Relationship Id="rId95" Type="http://schemas.openxmlformats.org/officeDocument/2006/relationships/hyperlink" Target="https://www.linkedin.com/learning/managing-employee-performance-problems-2018?trk=ondemandfile" TargetMode="External"/><Relationship Id="rId94" Type="http://schemas.openxmlformats.org/officeDocument/2006/relationships/hyperlink" Target="https://www.linkedin.com/learning/implementing-continuous-impro-vement-a-case-study?trk=ondemandfile" TargetMode="External"/><Relationship Id="rId97" Type="http://schemas.openxmlformats.org/officeDocument/2006/relationships/hyperlink" Target="https://www.linkedin.com/learning/business-ethics-for-managers-and-leaders?trk=ondemandfile" TargetMode="External"/><Relationship Id="rId96" Type="http://schemas.openxmlformats.org/officeDocument/2006/relationships/hyperlink" Target="https://www.linkedin.com/learning/culture-of-kaizen?trk=ondemandfile" TargetMode="External"/><Relationship Id="rId99" Type="http://schemas.openxmlformats.org/officeDocument/2006/relationships/hyperlink" Target="https://www.linkedin.com/learning/managing-for-better-ideas?trk=ondemandfile" TargetMode="External"/><Relationship Id="rId98" Type="http://schemas.openxmlformats.org/officeDocument/2006/relationships/hyperlink" Target="https://www.linkedin.com/learning/developing-assertive-leadership?trk=ondemandfile" TargetMode="External"/><Relationship Id="rId91" Type="http://schemas.openxmlformats.org/officeDocument/2006/relationships/hyperlink" Target="https://www.linkedin.com/learning/facilitation-skills-for-managers-and-leaders?trk=ondemandfile" TargetMode="External"/><Relationship Id="rId90" Type="http://schemas.openxmlformats.org/officeDocument/2006/relationships/hyperlink" Target="https://www.linkedin.com/learning/leadership-foundations-4?trk=ondemandfile" TargetMode="External"/><Relationship Id="rId93" Type="http://schemas.openxmlformats.org/officeDocument/2006/relationships/hyperlink" Target="https://www.linkedin.com/learning/leading-and-working-in-teams?trk=ondemandfile" TargetMode="External"/><Relationship Id="rId92" Type="http://schemas.openxmlformats.org/officeDocument/2006/relationships/hyperlink" Target="https://www.linkedin.com/learning/management-foundations-2019?trk=ondemandfile" TargetMode="External"/><Relationship Id="rId190" Type="http://schemas.openxmlformats.org/officeDocument/2006/relationships/hyperlink" Target="https://www.linkedin.com/learning/fred-kofman-on-accountability?trk=ondemandfile" TargetMode="External"/><Relationship Id="rId194" Type="http://schemas.openxmlformats.org/officeDocument/2006/relationships/hyperlink" Target="https://www.linkedin.com/learning/leadership-in-tech?trk=ondemandfile" TargetMode="External"/><Relationship Id="rId193" Type="http://schemas.openxmlformats.org/officeDocument/2006/relationships/hyperlink" Target="https://www.linkedin.com/learning/what-s-next-reinventing-work-in-the-new-normal?trk=ondemandfile" TargetMode="External"/><Relationship Id="rId192" Type="http://schemas.openxmlformats.org/officeDocument/2006/relationships/hyperlink" Target="https://www.linkedin.com/learning/the-fearless-organization-blinkist-summary?trk=ondemandfile" TargetMode="External"/><Relationship Id="rId191" Type="http://schemas.openxmlformats.org/officeDocument/2006/relationships/hyperlink" Target="https://www.linkedin.com/learning/leading-in-crisis?trk=ondemandfile" TargetMode="External"/><Relationship Id="rId187" Type="http://schemas.openxmlformats.org/officeDocument/2006/relationships/hyperlink" Target="https://www.linkedin.com/learning/adaptive-leadership-for-vuca-challenges?trk=ondemandfile" TargetMode="External"/><Relationship Id="rId186" Type="http://schemas.openxmlformats.org/officeDocument/2006/relationships/hyperlink" Target="https://www.linkedin.com/learning/the-definitive-drucker-getabstract-summary?trk=ondemandfile" TargetMode="External"/><Relationship Id="rId185" Type="http://schemas.openxmlformats.org/officeDocument/2006/relationships/hyperlink" Target="https://www.linkedin.com/learning/leading-in-uncertain-times?trk=ondemandfile" TargetMode="External"/><Relationship Id="rId184" Type="http://schemas.openxmlformats.org/officeDocument/2006/relationships/hyperlink" Target="https://www.linkedin.com/learning/how-to-innovate-and-stay-relevant-in-times-of-change-and-uncertainty?trk=ondemandfile" TargetMode="External"/><Relationship Id="rId189" Type="http://schemas.openxmlformats.org/officeDocument/2006/relationships/hyperlink" Target="https://www.linkedin.com/learning/bill-george-on-self-awareness-authenticity-and-leadership?trk=ondemandfile" TargetMode="External"/><Relationship Id="rId188" Type="http://schemas.openxmlformats.org/officeDocument/2006/relationships/hyperlink" Target="https://www.linkedin.com/learning/mastering-organizational-chaos?trk=ondemandfile" TargetMode="External"/><Relationship Id="rId183" Type="http://schemas.openxmlformats.org/officeDocument/2006/relationships/hyperlink" Target="https://www.linkedin.com/learning/how-leaders-can-motivate-by-creating-meaning?trk=ondemandfile" TargetMode="External"/><Relationship Id="rId182" Type="http://schemas.openxmlformats.org/officeDocument/2006/relationships/hyperlink" Target="https://www.linkedin.com/learning/leadership-mindsets?trk=ondemandfile" TargetMode="External"/><Relationship Id="rId181" Type="http://schemas.openxmlformats.org/officeDocument/2006/relationships/hyperlink" Target="https://www.linkedin.com/learning/predictive-analytics-essential-training-for-executives?trk=ondemandfile" TargetMode="External"/><Relationship Id="rId180" Type="http://schemas.openxmlformats.org/officeDocument/2006/relationships/hyperlink" Target="https://www.linkedin.com/learning/building-and-managing-a-high-performing-sales-team?trk=ondemandfile" TargetMode="External"/><Relationship Id="rId176" Type="http://schemas.openxmlformats.org/officeDocument/2006/relationships/hyperlink" Target="https://www.linkedin.com/learning/how-to-successfully-lead-a-pmo?trk=ondemandfile" TargetMode="External"/><Relationship Id="rId175" Type="http://schemas.openxmlformats.org/officeDocument/2006/relationships/hyperlink" Target="https://www.linkedin.com/learning/leadership-skills-for-the-future?trk=ondemandfile" TargetMode="External"/><Relationship Id="rId174" Type="http://schemas.openxmlformats.org/officeDocument/2006/relationships/hyperlink" Target="https://www.linkedin.com/learning/fostering-belonging-as-a-leader?trk=ondemandfile" TargetMode="External"/><Relationship Id="rId173" Type="http://schemas.openxmlformats.org/officeDocument/2006/relationships/hyperlink" Target="https://www.linkedin.com/learning/demonstrating-accountability-as-a-leader?trk=ondemandfile" TargetMode="External"/><Relationship Id="rId179" Type="http://schemas.openxmlformats.org/officeDocument/2006/relationships/hyperlink" Target="https://www.linkedin.com/learning/powerless-to-powerful-taking-control?trk=ondemandfile" TargetMode="External"/><Relationship Id="rId178" Type="http://schemas.openxmlformats.org/officeDocument/2006/relationships/hyperlink" Target="https://www.linkedin.com/learning/leading-with-kindness-and-strength?trk=ondemandfile" TargetMode="External"/><Relationship Id="rId177" Type="http://schemas.openxmlformats.org/officeDocument/2006/relationships/hyperlink" Target="https://www.linkedin.com/learning/leading-projects?trk=ondemandfile" TargetMode="External"/><Relationship Id="rId198" Type="http://schemas.openxmlformats.org/officeDocument/2006/relationships/drawing" Target="../drawings/drawing13.xml"/><Relationship Id="rId197" Type="http://schemas.openxmlformats.org/officeDocument/2006/relationships/hyperlink" Target="https://www.linkedin.com/learning/leading-with-a-heavy-heart?trk=ondemandfile" TargetMode="External"/><Relationship Id="rId196" Type="http://schemas.openxmlformats.org/officeDocument/2006/relationships/hyperlink" Target="https://www.linkedin.com/learning/redesigning-how-we-work-in-2021?trk=ondemandfile" TargetMode="External"/><Relationship Id="rId195" Type="http://schemas.openxmlformats.org/officeDocument/2006/relationships/hyperlink" Target="https://www.linkedin.com/learning/communicating-internally-during-times-of-uncertainty?trk=ondemandfile" TargetMode="External"/><Relationship Id="rId150" Type="http://schemas.openxmlformats.org/officeDocument/2006/relationships/hyperlink" Target="https://www.linkedin.com/learning/jeff-weiner-on-how-to-lead-like-a-ceo?trk=ondemandfile" TargetMode="External"/><Relationship Id="rId149" Type="http://schemas.openxmlformats.org/officeDocument/2006/relationships/hyperlink" Target="https://www.linkedin.com/learning/the-superbosses-playbook?trk=ondemandfile" TargetMode="External"/><Relationship Id="rId148" Type="http://schemas.openxmlformats.org/officeDocument/2006/relationships/hyperlink" Target="https://www.linkedin.com/learning/conducting-motivational-1-on-1-reviews?trk=ondemandfile" TargetMode="External"/><Relationship Id="rId143" Type="http://schemas.openxmlformats.org/officeDocument/2006/relationships/hyperlink" Target="https://www.linkedin.com/learning/the-definitive-drucker-getabstract-summary?trk=ondemandfile" TargetMode="External"/><Relationship Id="rId142" Type="http://schemas.openxmlformats.org/officeDocument/2006/relationships/hyperlink" Target="https://www.linkedin.com/learning/body-language-for-leaders-2?trk=ondemandfile" TargetMode="External"/><Relationship Id="rId141" Type="http://schemas.openxmlformats.org/officeDocument/2006/relationships/hyperlink" Target="https://www.linkedin.com/learning/how-leaders-can-motivate-by-creating-meaning?trk=ondemandfile" TargetMode="External"/><Relationship Id="rId140" Type="http://schemas.openxmlformats.org/officeDocument/2006/relationships/hyperlink" Target="https://www.linkedin.com/learning/coaching-virtually?trk=ondemandfile" TargetMode="External"/><Relationship Id="rId147" Type="http://schemas.openxmlformats.org/officeDocument/2006/relationships/hyperlink" Target="https://www.linkedin.com/learning/creating-an-adaptable-team?trk=ondemandfile" TargetMode="External"/><Relationship Id="rId146" Type="http://schemas.openxmlformats.org/officeDocument/2006/relationships/hyperlink" Target="https://www.linkedin.com/learning/become-a-digital-nomad?trk=ondemandfile" TargetMode="External"/><Relationship Id="rId145" Type="http://schemas.openxmlformats.org/officeDocument/2006/relationships/hyperlink" Target="https://www.linkedin.com/learning/creating-winning-teams?trk=ondemandfile" TargetMode="External"/><Relationship Id="rId144" Type="http://schemas.openxmlformats.org/officeDocument/2006/relationships/hyperlink" Target="https://www.linkedin.com/learning/the-secret-what-great-leaders-know-and-do-getabstract-summary?trk=ondemandfile" TargetMode="External"/><Relationship Id="rId139" Type="http://schemas.openxmlformats.org/officeDocument/2006/relationships/hyperlink" Target="https://www.linkedin.com/learning/building-a-coaching-culture-improving-performance-through-timely-feedback?trk=ondemandfile" TargetMode="External"/><Relationship Id="rId138" Type="http://schemas.openxmlformats.org/officeDocument/2006/relationships/hyperlink" Target="https://www.linkedin.com/learning/leading-in-the-moment?trk=ondemandfile" TargetMode="External"/><Relationship Id="rId137" Type="http://schemas.openxmlformats.org/officeDocument/2006/relationships/hyperlink" Target="https://www.linkedin.com/learning/recognizing-and-rewarding-your-workers?trk=ondemandfile" TargetMode="External"/><Relationship Id="rId132" Type="http://schemas.openxmlformats.org/officeDocument/2006/relationships/hyperlink" Target="https://www.linkedin.com/learning/compassionate-leadership?trk=ondemandfile" TargetMode="External"/><Relationship Id="rId131" Type="http://schemas.openxmlformats.org/officeDocument/2006/relationships/hyperlink" Target="https://www.linkedin.com/learning/the-art-of-leadership-getabstract-summary?trk=ondemandfile" TargetMode="External"/><Relationship Id="rId130" Type="http://schemas.openxmlformats.org/officeDocument/2006/relationships/hyperlink" Target="https://www.linkedin.com/learning/having-career-conversations-with-your-team?trk=ondemandfile" TargetMode="External"/><Relationship Id="rId136" Type="http://schemas.openxmlformats.org/officeDocument/2006/relationships/hyperlink" Target="https://www.linkedin.com/learning/leading-and-motivating-different-personalities?trk=ondemandfile" TargetMode="External"/><Relationship Id="rId135" Type="http://schemas.openxmlformats.org/officeDocument/2006/relationships/hyperlink" Target="https://www.linkedin.com/learning/just-ask-todd-dewett-2020?trk=ondemandfile" TargetMode="External"/><Relationship Id="rId134" Type="http://schemas.openxmlformats.org/officeDocument/2006/relationships/hyperlink" Target="https://www.linkedin.com/learning/creative-thinking-strategies-for-leaders?trk=ondemandfile" TargetMode="External"/><Relationship Id="rId133" Type="http://schemas.openxmlformats.org/officeDocument/2006/relationships/hyperlink" Target="https://www.linkedin.com/learning/how-to-stop-wasting-time-in-meetings?trk=ondemandfile" TargetMode="External"/><Relationship Id="rId172" Type="http://schemas.openxmlformats.org/officeDocument/2006/relationships/hyperlink" Target="https://www.linkedin.com/learning/exercising-a-growth-mindset-as-a-leader-nine-common-workplace-challenges?trk=ondemandfile" TargetMode="External"/><Relationship Id="rId171" Type="http://schemas.openxmlformats.org/officeDocument/2006/relationships/hyperlink" Target="https://www.linkedin.com/learning/effective-sponsorship-across-difference-for-sponsors?trk=contentmappingfile" TargetMode="External"/><Relationship Id="rId170" Type="http://schemas.openxmlformats.org/officeDocument/2006/relationships/hyperlink" Target="https://www.linkedin.com/learning/overcoming-obstacles-to-leading-with-confidence?trk=ondemandfile" TargetMode="External"/><Relationship Id="rId165" Type="http://schemas.openxmlformats.org/officeDocument/2006/relationships/hyperlink" Target="https://www.linkedin.com/learning/inclusive-communication?trk=ondemandfile" TargetMode="External"/><Relationship Id="rId164" Type="http://schemas.openxmlformats.org/officeDocument/2006/relationships/hyperlink" Target="https://www.linkedin.com/learning/superhuman-innovation-blinkist-summary?trk=ondemandfile" TargetMode="External"/><Relationship Id="rId163" Type="http://schemas.openxmlformats.org/officeDocument/2006/relationships/hyperlink" Target="https://www.linkedin.com/learning/work-on-purpose?trk=ondemandfile" TargetMode="External"/><Relationship Id="rId162" Type="http://schemas.openxmlformats.org/officeDocument/2006/relationships/hyperlink" Target="https://www.linkedin.com/learning/become-a-courageous-female-leader?trk=ondemandfile" TargetMode="External"/><Relationship Id="rId169" Type="http://schemas.openxmlformats.org/officeDocument/2006/relationships/hyperlink" Target="https://www.linkedin.com/learning/leading-through-chaos?trk=ondemandfile" TargetMode="External"/><Relationship Id="rId168" Type="http://schemas.openxmlformats.org/officeDocument/2006/relationships/hyperlink" Target="https://www.linkedin.com/learning/how-to-inspire-and-develop-your-direct-reports?trk=ondemandfile" TargetMode="External"/><Relationship Id="rId167" Type="http://schemas.openxmlformats.org/officeDocument/2006/relationships/hyperlink" Target="https://www.linkedin.com/learning/navigating-complexity-in-your-organization?trk=ondemandfile" TargetMode="External"/><Relationship Id="rId166" Type="http://schemas.openxmlformats.org/officeDocument/2006/relationships/hyperlink" Target="https://www.linkedin.com/learning/project-leadership?trk=ondemandfile" TargetMode="External"/><Relationship Id="rId161" Type="http://schemas.openxmlformats.org/officeDocument/2006/relationships/hyperlink" Target="https://www.linkedin.com/learning/women-transforming-tech-round-table-discussion?trk=ondemandfile" TargetMode="External"/><Relationship Id="rId160" Type="http://schemas.openxmlformats.org/officeDocument/2006/relationships/hyperlink" Target="https://www.linkedin.com/learning/women-transforming-tech-finding-a-mentor?trk=ondemandfile" TargetMode="External"/><Relationship Id="rId159" Type="http://schemas.openxmlformats.org/officeDocument/2006/relationships/hyperlink" Target="https://www.linkedin.com/learning/inspirational-leadership-skills-practical-motivational-leadership?trk=ondemandfile" TargetMode="External"/><Relationship Id="rId154" Type="http://schemas.openxmlformats.org/officeDocument/2006/relationships/hyperlink" Target="https://www.linkedin.com/learning/the-leader-s-guide-to-mindfulness-getabstract-summary?trk=ondemandfile" TargetMode="External"/><Relationship Id="rId153" Type="http://schemas.openxmlformats.org/officeDocument/2006/relationships/hyperlink" Target="https://www.linkedin.com/learning/foundations-of-performance-management?trk=ondemandfile" TargetMode="External"/><Relationship Id="rId152" Type="http://schemas.openxmlformats.org/officeDocument/2006/relationships/hyperlink" Target="https://www.linkedin.com/learning/becoming-a-manager-your-team-loves?trk=ondemandfile" TargetMode="External"/><Relationship Id="rId151" Type="http://schemas.openxmlformats.org/officeDocument/2006/relationships/hyperlink" Target="https://www.linkedin.com/learning/creating-a-communications-strategy?trk=ondemandfile" TargetMode="External"/><Relationship Id="rId158" Type="http://schemas.openxmlformats.org/officeDocument/2006/relationships/hyperlink" Target="https://www.linkedin.com/learning/leading-when-you-re-not-in-charge?trk=ondemandfile" TargetMode="External"/><Relationship Id="rId157" Type="http://schemas.openxmlformats.org/officeDocument/2006/relationships/hyperlink" Target="https://www.linkedin.com/learning/backgrounder-difficult-conversations-and-negotiations?trk=ondemandfile" TargetMode="External"/><Relationship Id="rId156" Type="http://schemas.openxmlformats.org/officeDocument/2006/relationships/hyperlink" Target="https://www.linkedin.com/learning/supporting-your-team-as-offices-reopen?trk=ondemandfile" TargetMode="External"/><Relationship Id="rId155" Type="http://schemas.openxmlformats.org/officeDocument/2006/relationships/hyperlink" Target="https://www.linkedin.com/learning/sales-management-simplified-blinkist-summary?trk=ondemandfile" TargetMode="External"/><Relationship Id="rId107" Type="http://schemas.openxmlformats.org/officeDocument/2006/relationships/hyperlink" Target="https://www.linkedin.com/learning/leadership-through-feedback?trk=ondemandfile" TargetMode="External"/><Relationship Id="rId106" Type="http://schemas.openxmlformats.org/officeDocument/2006/relationships/hyperlink" Target="https://www.linkedin.com/learning/developing-credibility-as-a-leader?trk=ondemandfile" TargetMode="External"/><Relationship Id="rId105" Type="http://schemas.openxmlformats.org/officeDocument/2006/relationships/hyperlink" Target="https://www.linkedin.com/learning/managing-skills-for-remote-leaders?trk=ondemandfile" TargetMode="External"/><Relationship Id="rId104" Type="http://schemas.openxmlformats.org/officeDocument/2006/relationships/hyperlink" Target="https://www.linkedin.com/learning/creating-a-culture-that-inspires-your-employees?trk=ondemandfile" TargetMode="External"/><Relationship Id="rId109" Type="http://schemas.openxmlformats.org/officeDocument/2006/relationships/hyperlink" Target="https://www.linkedin.com/learning/how-to-be-an-effective-remote-manager?trk=ondemandfile" TargetMode="External"/><Relationship Id="rId108" Type="http://schemas.openxmlformats.org/officeDocument/2006/relationships/hyperlink" Target="https://www.linkedin.com/learning/leading-at-a-distance?trk=ondemandfile" TargetMode="External"/><Relationship Id="rId103" Type="http://schemas.openxmlformats.org/officeDocument/2006/relationships/hyperlink" Target="https://www.linkedin.com/learning/succeeding-as-a-first-time-t-ech-manager?trk=ondemandfile" TargetMode="External"/><Relationship Id="rId102" Type="http://schemas.openxmlformats.org/officeDocument/2006/relationships/hyperlink" Target="https://www.linkedin.com/learning/key-mental-shifts-for-servant-leadership?trk=ondemandfile" TargetMode="External"/><Relationship Id="rId101" Type="http://schemas.openxmlformats.org/officeDocument/2006/relationships/hyperlink" Target="https://www.linkedin.com/learning/having-career-conversations-with-your-team?trk=ondemandfile" TargetMode="External"/><Relationship Id="rId100" Type="http://schemas.openxmlformats.org/officeDocument/2006/relationships/hyperlink" Target="https://www.linkedin.com/learning/leadership-fundamentals?trk=ondemandfile" TargetMode="External"/><Relationship Id="rId129" Type="http://schemas.openxmlformats.org/officeDocument/2006/relationships/hyperlink" Target="https://www.linkedin.com/learning/mindful-leadership?trk=ondemandfile" TargetMode="External"/><Relationship Id="rId128" Type="http://schemas.openxmlformats.org/officeDocument/2006/relationships/hyperlink" Target="https://www.linkedin.com/learning/lessons-in-enlightened-leadership?trk=ondemandfile" TargetMode="External"/><Relationship Id="rId127" Type="http://schemas.openxmlformats.org/officeDocument/2006/relationships/hyperlink" Target="https://www.linkedin.com/learning/how-to-effectively-deliver-criticism?trk=ondemandfile" TargetMode="External"/><Relationship Id="rId126" Type="http://schemas.openxmlformats.org/officeDocument/2006/relationships/hyperlink" Target="https://www.linkedin.com/learning/business-ethics-for-managers-and-leaders?trk=ondemandfile" TargetMode="External"/><Relationship Id="rId121" Type="http://schemas.openxmlformats.org/officeDocument/2006/relationships/hyperlink" Target="https://www.linkedin.com/learning/having-difficult-conversations-2?trk=ondemandfile" TargetMode="External"/><Relationship Id="rId120" Type="http://schemas.openxmlformats.org/officeDocument/2006/relationships/hyperlink" Target="https://www.linkedin.com/learning/leading-effectively?trk=ondemandfile" TargetMode="External"/><Relationship Id="rId125" Type="http://schemas.openxmlformats.org/officeDocument/2006/relationships/hyperlink" Target="https://www.linkedin.com/learning/project-leadership?trk=ondemandfile" TargetMode="External"/><Relationship Id="rId124" Type="http://schemas.openxmlformats.org/officeDocument/2006/relationships/hyperlink" Target="https://www.linkedin.com/learning/leading-through-relationships?trk=ondemandfile" TargetMode="External"/><Relationship Id="rId123" Type="http://schemas.openxmlformats.org/officeDocument/2006/relationships/hyperlink" Target="https://www.linkedin.com/learning/configure-and-manage-office-365-workload-integrations?trk=ondemandfile" TargetMode="External"/><Relationship Id="rId122" Type="http://schemas.openxmlformats.org/officeDocument/2006/relationships/hyperlink" Target="https://www.linkedin.com/learning/leading-a-marketing-team?trk=ondemandfile" TargetMode="External"/><Relationship Id="rId118" Type="http://schemas.openxmlformats.org/officeDocument/2006/relationships/hyperlink" Target="https://www.linkedin.com/learning/leading-and-working-in-teams?trk=ondemandfile" TargetMode="External"/><Relationship Id="rId117" Type="http://schemas.openxmlformats.org/officeDocument/2006/relationships/hyperlink" Target="https://www.linkedin.com/learning/become-a-better-coach-for-your-team?trk=ondemandfile" TargetMode="External"/><Relationship Id="rId116" Type="http://schemas.openxmlformats.org/officeDocument/2006/relationships/hyperlink" Target="https://www.linkedin.com/learning/lead-like-a-boss?trk=ondemandfile" TargetMode="External"/><Relationship Id="rId115" Type="http://schemas.openxmlformats.org/officeDocument/2006/relationships/hyperlink" Target="https://www.linkedin.com/learning/management-excellence-at-microsoft-model-coach-care?trk=ondemandfile" TargetMode="External"/><Relationship Id="rId119" Type="http://schemas.openxmlformats.org/officeDocument/2006/relationships/hyperlink" Target="https://www.linkedin.com/learning/boosting-your-team-s-productivity?trk=ondemandfile" TargetMode="External"/><Relationship Id="rId110" Type="http://schemas.openxmlformats.org/officeDocument/2006/relationships/hyperlink" Target="https://www.linkedin.com/learning/leading-with-emotional-intelligence-2018?trk=ondemandfile" TargetMode="External"/><Relationship Id="rId114" Type="http://schemas.openxmlformats.org/officeDocument/2006/relationships/hyperlink" Target="https://www.linkedin.com/learning/coaching-skills-for-leaders-and-managers?trk=ondemandfile" TargetMode="External"/><Relationship Id="rId113" Type="http://schemas.openxmlformats.org/officeDocument/2006/relationships/hyperlink" Target="https://www.linkedin.com/learning/delegating-from-a-distance?trk=ondemandfile" TargetMode="External"/><Relationship Id="rId112" Type="http://schemas.openxmlformats.org/officeDocument/2006/relationships/hyperlink" Target="https://www.linkedin.com/learning/leading-with-stories-2?trk=ondemandfile" TargetMode="External"/><Relationship Id="rId111" Type="http://schemas.openxmlformats.org/officeDocument/2006/relationships/hyperlink" Target="https://www.linkedin.com/learning/how-to-build-virtual-accountability?trk=ondemandfile"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linkedin.com/learning/agile-software-development-creating-an-agile-culture?trk=ondemandfile" TargetMode="External"/><Relationship Id="rId2" Type="http://schemas.openxmlformats.org/officeDocument/2006/relationships/hyperlink" Target="https://www.linkedin.com/learning/paths/become-a-business-operations-associate?trk=ondemandfile" TargetMode="External"/><Relationship Id="rId3" Type="http://schemas.openxmlformats.org/officeDocument/2006/relationships/hyperlink" Target="https://www.linkedin.com/learning/communication-tips-for-pitching-to-investors?trk=ondemandfile" TargetMode="External"/><Relationship Id="rId4" Type="http://schemas.openxmlformats.org/officeDocument/2006/relationships/hyperlink" Target="https://www.linkedin.com/learning/paths/create-a-successful-pitch-for-investors?trk=ondemandfile" TargetMode="External"/><Relationship Id="rId9" Type="http://schemas.openxmlformats.org/officeDocument/2006/relationships/hyperlink" Target="https://www.linkedin.com/learning/sustainability-strategies?trk=ondemandfile" TargetMode="External"/><Relationship Id="rId5" Type="http://schemas.openxmlformats.org/officeDocument/2006/relationships/hyperlink" Target="https://www.linkedin.com/learning/mergers-acquisitions?trk=ondemandfile" TargetMode="External"/><Relationship Id="rId6" Type="http://schemas.openxmlformats.org/officeDocument/2006/relationships/hyperlink" Target="https://www.linkedin.com/learning/paths/becoming-a-six-sigma-black-belt?trk=ondemandfile" TargetMode="External"/><Relationship Id="rId7" Type="http://schemas.openxmlformats.org/officeDocument/2006/relationships/hyperlink" Target="https://www.linkedin.com/learning/leading-productive-meetings-2018?trk=ondemandfile" TargetMode="External"/><Relationship Id="rId8" Type="http://schemas.openxmlformats.org/officeDocument/2006/relationships/hyperlink" Target="https://www.linkedin.com/learning/paths/create-and-deliver-engaging-presentations?trk=ondemandfile" TargetMode="External"/><Relationship Id="rId40" Type="http://schemas.openxmlformats.org/officeDocument/2006/relationships/hyperlink" Target="https://www.linkedin.com/learning/organizational-thought-leadership?trk=ondemandfile" TargetMode="External"/><Relationship Id="rId42" Type="http://schemas.openxmlformats.org/officeDocument/2006/relationships/hyperlink" Target="https://www.linkedin.com/learning/implementing-an-information-security-program?trk=ondemandfile" TargetMode="External"/><Relationship Id="rId41" Type="http://schemas.openxmlformats.org/officeDocument/2006/relationships/hyperlink" Target="https://www.linkedin.com/learning/public-speaking-energise-and-engage-your-audience?trk=ondemandfile" TargetMode="External"/><Relationship Id="rId44" Type="http://schemas.openxmlformats.org/officeDocument/2006/relationships/hyperlink" Target="https://www.linkedin.com/learning/workplace-visualization?trk=ondemandfile" TargetMode="External"/><Relationship Id="rId43" Type="http://schemas.openxmlformats.org/officeDocument/2006/relationships/hyperlink" Target="https://www.linkedin.com/learning/how-to-present-and-stay-on-point-2019?trk=ondemandfile" TargetMode="External"/><Relationship Id="rId46" Type="http://schemas.openxmlformats.org/officeDocument/2006/relationships/hyperlink" Target="https://www.linkedin.com/learning/implementing-continuous-impro-vement-a-case-study?trk=ondemandfile" TargetMode="External"/><Relationship Id="rId45" Type="http://schemas.openxmlformats.org/officeDocument/2006/relationships/hyperlink" Target="https://www.linkedin.com/learning/how-to-project-vocal-confidence?trk=ondemandfile" TargetMode="External"/><Relationship Id="rId48" Type="http://schemas.openxmlformats.org/officeDocument/2006/relationships/hyperlink" Target="https://www.linkedin.com/learning/devops-foundations-lean-and-agile?trk=ondemandfile" TargetMode="External"/><Relationship Id="rId47" Type="http://schemas.openxmlformats.org/officeDocument/2006/relationships/hyperlink" Target="https://www.linkedin.com/learning/how-to-turn-your-entrepreneur-journey-into-a-successful-keynote-talk?trk=ondemandfile" TargetMode="External"/><Relationship Id="rId49" Type="http://schemas.openxmlformats.org/officeDocument/2006/relationships/hyperlink" Target="https://www.linkedin.com/learning/speaking-confidently-and-effectively?trk=ondemandfile" TargetMode="External"/><Relationship Id="rId31" Type="http://schemas.openxmlformats.org/officeDocument/2006/relationships/hyperlink" Target="https://www.linkedin.com/learning/managing-meetings?trk=ondemandfile" TargetMode="External"/><Relationship Id="rId30" Type="http://schemas.openxmlformats.org/officeDocument/2006/relationships/hyperlink" Target="https://www.linkedin.com/learning/paths/stay-ahead-in-sustainability-and-green-building?trk=ondemandfile" TargetMode="External"/><Relationship Id="rId33" Type="http://schemas.openxmlformats.org/officeDocument/2006/relationships/hyperlink" Target="https://www.linkedin.com/learning/paths/stay-competitive-using-design-thinking?trk=ondemandfile" TargetMode="External"/><Relationship Id="rId32" Type="http://schemas.openxmlformats.org/officeDocument/2006/relationships/hyperlink" Target="https://www.linkedin.com/learning/reid-hoffman-and-chris-yeh-on-blitzscaling?trk=ondemandfile" TargetMode="External"/><Relationship Id="rId35" Type="http://schemas.openxmlformats.org/officeDocument/2006/relationships/hyperlink" Target="https://www.linkedin.com/learning/skip-level-meetings?trk=ondemandfile" TargetMode="External"/><Relationship Id="rId34" Type="http://schemas.openxmlformats.org/officeDocument/2006/relationships/hyperlink" Target="https://www.linkedin.com/learning/overcoming-your-fear-of-public-speaking-2?trk=ondemandfile" TargetMode="External"/><Relationship Id="rId37" Type="http://schemas.openxmlformats.org/officeDocument/2006/relationships/hyperlink" Target="https://www.linkedin.com/learning/public-speaking-foundations-2?trk=ondemandfile" TargetMode="External"/><Relationship Id="rId36" Type="http://schemas.openxmlformats.org/officeDocument/2006/relationships/hyperlink" Target="https://www.linkedin.com/learning/paths/understand-gdpr-and-data-privacy?trk=ondemandfile" TargetMode="External"/><Relationship Id="rId39" Type="http://schemas.openxmlformats.org/officeDocument/2006/relationships/hyperlink" Target="https://www.linkedin.com/learning/own-your-voice-improve-presentations-and-executive-presence?trk=ondemandfile" TargetMode="External"/><Relationship Id="rId38" Type="http://schemas.openxmlformats.org/officeDocument/2006/relationships/hyperlink" Target="https://www.linkedin.com/learning/scaling-up-excellence?trk=ondemandfile" TargetMode="External"/><Relationship Id="rId20" Type="http://schemas.openxmlformats.org/officeDocument/2006/relationships/hyperlink" Target="https://www.linkedin.com/learning/paths/improve-your-presentation-skills?trk=ondemandfile" TargetMode="External"/><Relationship Id="rId22" Type="http://schemas.openxmlformats.org/officeDocument/2006/relationships/hyperlink" Target="https://www.linkedin.com/learning/paths/improve-processes-and-deliver-operational-excellence?trk=ondemandfile" TargetMode="External"/><Relationship Id="rId21" Type="http://schemas.openxmlformats.org/officeDocument/2006/relationships/hyperlink" Target="https://www.linkedin.com/learning/digital-transformation-2?trk=ondemandfile" TargetMode="External"/><Relationship Id="rId24" Type="http://schemas.openxmlformats.org/officeDocument/2006/relationships/hyperlink" Target="https://www.linkedin.com/learning/paths/master-microsoft-powerpoint?trk=ondemandfile" TargetMode="External"/><Relationship Id="rId23" Type="http://schemas.openxmlformats.org/officeDocument/2006/relationships/hyperlink" Target="https://www.linkedin.com/learning/establishing-credibility-as-a-speaker?trk=ondemandfile" TargetMode="External"/><Relationship Id="rId26" Type="http://schemas.openxmlformats.org/officeDocument/2006/relationships/hyperlink" Target="https://www.linkedin.com/learning/paths/improve-your-continuous-delivery-skills?trk=ondemandfile" TargetMode="External"/><Relationship Id="rId25" Type="http://schemas.openxmlformats.org/officeDocument/2006/relationships/hyperlink" Target="https://www.linkedin.com/learning/creating-a-product-centric-organization?trk=ondemandfile" TargetMode="External"/><Relationship Id="rId28" Type="http://schemas.openxmlformats.org/officeDocument/2006/relationships/hyperlink" Target="https://www.linkedin.com/learning/paths/visual-communication-for-business-professionals?trk=ondemandfile" TargetMode="External"/><Relationship Id="rId27" Type="http://schemas.openxmlformats.org/officeDocument/2006/relationships/hyperlink" Target="https://www.linkedin.com/learning/learning-powerpoint-2019?trk=ondemandfile" TargetMode="External"/><Relationship Id="rId29" Type="http://schemas.openxmlformats.org/officeDocument/2006/relationships/hyperlink" Target="https://www.linkedin.com/learning/cybersecurity-for-executives?trk=ondemandfile" TargetMode="External"/><Relationship Id="rId11" Type="http://schemas.openxmlformats.org/officeDocument/2006/relationships/hyperlink" Target="https://www.linkedin.com/learning/facilitation-skills-for-managers-and-leaders?trk=ondemandfile" TargetMode="External"/><Relationship Id="rId10" Type="http://schemas.openxmlformats.org/officeDocument/2006/relationships/hyperlink" Target="https://www.linkedin.com/learning/paths/becoming-a-six-sigma-green-belt?trk=ondemandfile" TargetMode="External"/><Relationship Id="rId13" Type="http://schemas.openxmlformats.org/officeDocument/2006/relationships/hyperlink" Target="https://www.linkedin.com/learning/lean-technology-strategy-purposeful-organizations?trk=ondemandfile" TargetMode="External"/><Relationship Id="rId12" Type="http://schemas.openxmlformats.org/officeDocument/2006/relationships/hyperlink" Target="https://www.linkedin.com/learning/paths/develop-your-presentation-skills?trk=ondemandfile" TargetMode="External"/><Relationship Id="rId15" Type="http://schemas.openxmlformats.org/officeDocument/2006/relationships/hyperlink" Target="https://www.linkedin.com/learning/graphic-facilitation-for-productive-team-meetings?trk=ondemandfile" TargetMode="External"/><Relationship Id="rId14" Type="http://schemas.openxmlformats.org/officeDocument/2006/relationships/hyperlink" Target="https://www.linkedin.com/learning/paths/become-a-six-sigma-yellow-belt?trk=ondemandfile" TargetMode="External"/><Relationship Id="rId17" Type="http://schemas.openxmlformats.org/officeDocument/2006/relationships/hyperlink" Target="https://www.linkedin.com/learning/lean-technology-strategy-financial-management-to-support-business-agility?trk=ondemandfile" TargetMode="External"/><Relationship Id="rId16" Type="http://schemas.openxmlformats.org/officeDocument/2006/relationships/hyperlink" Target="https://www.linkedin.com/learning/paths/getting-started-with-microsoft-powerpoint?trk=ondemandfile" TargetMode="External"/><Relationship Id="rId19" Type="http://schemas.openxmlformats.org/officeDocument/2006/relationships/hyperlink" Target="https://www.linkedin.com/learning/executive-presence-on-video-conference-calls?trk=ondemandfile" TargetMode="External"/><Relationship Id="rId18" Type="http://schemas.openxmlformats.org/officeDocument/2006/relationships/hyperlink" Target="https://www.linkedin.com/learning/paths/build-a-privacy-program?trk=ondemandfile" TargetMode="External"/><Relationship Id="rId84" Type="http://schemas.openxmlformats.org/officeDocument/2006/relationships/hyperlink" Target="https://www.linkedin.com/learning/implementing-lean-a-case-study?trk=ondemandfile" TargetMode="External"/><Relationship Id="rId83" Type="http://schemas.openxmlformats.org/officeDocument/2006/relationships/hyperlink" Target="https://www.linkedin.com/learning/managing-your-anxiety-while-presenting?trk=ondemandfile" TargetMode="External"/><Relationship Id="rId86" Type="http://schemas.openxmlformats.org/officeDocument/2006/relationships/hyperlink" Target="https://www.linkedin.com/learning/from-resisting-to-embracing-lean-a-case-study?trk=ondemandfile" TargetMode="External"/><Relationship Id="rId85" Type="http://schemas.openxmlformats.org/officeDocument/2006/relationships/hyperlink" Target="https://www.linkedin.com/learning/connecting-with-your-audience-using-video?trk=ondemandfile" TargetMode="External"/><Relationship Id="rId88" Type="http://schemas.openxmlformats.org/officeDocument/2006/relationships/hyperlink" Target="https://www.linkedin.com/learning/outsourcing-fundamentals?trk=ondemandfile" TargetMode="External"/><Relationship Id="rId87" Type="http://schemas.openxmlformats.org/officeDocument/2006/relationships/hyperlink" Target="https://www.linkedin.com/learning/how-to-create-and-run-a-brilliant-remote-workshop?trk=ondemandfile" TargetMode="External"/><Relationship Id="rId89" Type="http://schemas.openxmlformats.org/officeDocument/2006/relationships/hyperlink" Target="https://www.linkedin.com/learning/communicating-with-confidence?trk=ondemandfile" TargetMode="External"/><Relationship Id="rId80" Type="http://schemas.openxmlformats.org/officeDocument/2006/relationships/hyperlink" Target="https://www.linkedin.com/learning/understanding-business?trk=ondemandfile" TargetMode="External"/><Relationship Id="rId82" Type="http://schemas.openxmlformats.org/officeDocument/2006/relationships/hyperlink" Target="https://www.linkedin.com/learning/lean-deep-dive-job-instruction?trk=ondemandfile" TargetMode="External"/><Relationship Id="rId81" Type="http://schemas.openxmlformats.org/officeDocument/2006/relationships/hyperlink" Target="https://www.linkedin.com/learning/visual-storytelling-in-powerpoint?trk=ondemandfile" TargetMode="External"/><Relationship Id="rId73" Type="http://schemas.openxmlformats.org/officeDocument/2006/relationships/hyperlink" Target="https://www.linkedin.com/learning/creating-and-giving-business-presentations?trk=ondemandfile" TargetMode="External"/><Relationship Id="rId72" Type="http://schemas.openxmlformats.org/officeDocument/2006/relationships/hyperlink" Target="https://www.linkedin.com/learning/operations-management-foundations?trk=ondemandfile" TargetMode="External"/><Relationship Id="rId75" Type="http://schemas.openxmlformats.org/officeDocument/2006/relationships/hyperlink" Target="https://www.linkedin.com/learning/making-great-sales-presentations?trk=ondemandfile" TargetMode="External"/><Relationship Id="rId74" Type="http://schemas.openxmlformats.org/officeDocument/2006/relationships/hyperlink" Target="https://www.linkedin.com/learning/process-improvement-foundations?trk=ondemandfile" TargetMode="External"/><Relationship Id="rId77" Type="http://schemas.openxmlformats.org/officeDocument/2006/relationships/hyperlink" Target="https://www.linkedin.com/learning/meeting-facilitation?trk=ondemandfile" TargetMode="External"/><Relationship Id="rId76" Type="http://schemas.openxmlformats.org/officeDocument/2006/relationships/hyperlink" Target="https://www.linkedin.com/learning/supply-chain-foundations?trk=ondemandfile" TargetMode="External"/><Relationship Id="rId79" Type="http://schemas.openxmlformats.org/officeDocument/2006/relationships/hyperlink" Target="https://www.linkedin.com/learning/preparing-for-successful-communication?trk=ondemandfile" TargetMode="External"/><Relationship Id="rId78" Type="http://schemas.openxmlformats.org/officeDocument/2006/relationships/hyperlink" Target="https://www.linkedin.com/learning/introducing-ai-to-your-organization?trk=ondemandfile" TargetMode="External"/><Relationship Id="rId71" Type="http://schemas.openxmlformats.org/officeDocument/2006/relationships/hyperlink" Target="https://www.linkedin.com/learning/data-driven-presentations-with-excel-and-powerpoint-365-2019?trk=ondemandfile" TargetMode="External"/><Relationship Id="rId70" Type="http://schemas.openxmlformats.org/officeDocument/2006/relationships/hyperlink" Target="https://www.linkedin.com/learning/lean-six-sigma-foundations?trk=ondemandfile" TargetMode="External"/><Relationship Id="rId62" Type="http://schemas.openxmlformats.org/officeDocument/2006/relationships/hyperlink" Target="https://www.linkedin.com/learning/inventory-management-foundations?trk=ondemandfile" TargetMode="External"/><Relationship Id="rId61" Type="http://schemas.openxmlformats.org/officeDocument/2006/relationships/hyperlink" Target="https://www.linkedin.com/learning/engaging-your-virtual-audience?trk=ondemandfile" TargetMode="External"/><Relationship Id="rId64" Type="http://schemas.openxmlformats.org/officeDocument/2006/relationships/hyperlink" Target="https://www.linkedin.com/learning/job-skills-supply-chain-and-operations?trk=ondemandfile" TargetMode="External"/><Relationship Id="rId63" Type="http://schemas.openxmlformats.org/officeDocument/2006/relationships/hyperlink" Target="https://www.linkedin.com/learning/present-a-techie-s-guide-to-public-speaking?trk=ondemandfile" TargetMode="External"/><Relationship Id="rId66" Type="http://schemas.openxmlformats.org/officeDocument/2006/relationships/hyperlink" Target="https://www.linkedin.com/learning/lean-foundations?trk=ondemandfile" TargetMode="External"/><Relationship Id="rId65" Type="http://schemas.openxmlformats.org/officeDocument/2006/relationships/hyperlink" Target="https://www.linkedin.com/learning/powerpoint-2019-essential-training?trk=ondemandfile" TargetMode="External"/><Relationship Id="rId68" Type="http://schemas.openxmlformats.org/officeDocument/2006/relationships/hyperlink" Target="https://www.linkedin.com/learning/lean-inventory-management?trk=ondemandfile" TargetMode="External"/><Relationship Id="rId67" Type="http://schemas.openxmlformats.org/officeDocument/2006/relationships/hyperlink" Target="https://www.linkedin.com/learning/impromptu-speaking?trk=ondemandfile" TargetMode="External"/><Relationship Id="rId60" Type="http://schemas.openxmlformats.org/officeDocument/2006/relationships/hyperlink" Target="https://www.linkedin.com/learning/devops-foundations?trk=ondemandfile" TargetMode="External"/><Relationship Id="rId69" Type="http://schemas.openxmlformats.org/officeDocument/2006/relationships/hyperlink" Target="https://www.linkedin.com/learning/powerpoint-8-easy-ways-to-make-your-presentations-look-better?trk=ondemandfile" TargetMode="External"/><Relationship Id="rId51" Type="http://schemas.openxmlformats.org/officeDocument/2006/relationships/hyperlink" Target="https://www.linkedin.com/learning/boosting-your-confidence-public-speaking-and-performance?trk=ondemandfile" TargetMode="External"/><Relationship Id="rId50" Type="http://schemas.openxmlformats.org/officeDocument/2006/relationships/hyperlink" Target="https://www.linkedin.com/learning/devops-foundations-accelerating-continuous-delivery-in-the-enterprise?trk=ondemandfile" TargetMode="External"/><Relationship Id="rId53" Type="http://schemas.openxmlformats.org/officeDocument/2006/relationships/hyperlink" Target="https://www.linkedin.com/learning/smart-video-production-with-your-webcam?trk=ondemandfile" TargetMode="External"/><Relationship Id="rId52" Type="http://schemas.openxmlformats.org/officeDocument/2006/relationships/hyperlink" Target="https://www.linkedin.com/learning/microsoft-flow-advanced-business-automation?trk=ondemandfile" TargetMode="External"/><Relationship Id="rId55" Type="http://schemas.openxmlformats.org/officeDocument/2006/relationships/hyperlink" Target="https://www.linkedin.com/learning/learning-lucidchart?trk=ondemandfile" TargetMode="External"/><Relationship Id="rId54" Type="http://schemas.openxmlformats.org/officeDocument/2006/relationships/hyperlink" Target="https://www.linkedin.com/learning/mastering-organizational-chaos?trk=ondemandfile" TargetMode="External"/><Relationship Id="rId57" Type="http://schemas.openxmlformats.org/officeDocument/2006/relationships/hyperlink" Target="https://www.linkedin.com/learning/producing-screencast-videos-on-a-pc?trk=ondemandfile" TargetMode="External"/><Relationship Id="rId56" Type="http://schemas.openxmlformats.org/officeDocument/2006/relationships/hyperlink" Target="https://www.linkedin.com/learning/a3-problem-solving-for-continuous-improvement?trk=ondemandfile" TargetMode="External"/><Relationship Id="rId59" Type="http://schemas.openxmlformats.org/officeDocument/2006/relationships/hyperlink" Target="https://www.linkedin.com/learning/business-analysis-essential-facilitation-and-workshop-skills?trk=ondemandfile" TargetMode="External"/><Relationship Id="rId58" Type="http://schemas.openxmlformats.org/officeDocument/2006/relationships/hyperlink" Target="https://www.linkedin.com/learning/cost-reduction-cut-costs-and-maximise-profits?trk=ondemandfile" TargetMode="External"/><Relationship Id="rId95" Type="http://schemas.openxmlformats.org/officeDocument/2006/relationships/hyperlink" Target="https://www.linkedin.com/learning/presenting-to-senior-executives?trk=ondemandfile" TargetMode="External"/><Relationship Id="rId94" Type="http://schemas.openxmlformats.org/officeDocument/2006/relationships/hyperlink" Target="https://www.linkedin.com/learning/developing-organizational-awareness?trk=ondemandfile" TargetMode="External"/><Relationship Id="rId97" Type="http://schemas.openxmlformats.org/officeDocument/2006/relationships/hyperlink" Target="https://www.linkedin.com/learning/how-to-own-a-room?trk=ondemandfile" TargetMode="External"/><Relationship Id="rId96" Type="http://schemas.openxmlformats.org/officeDocument/2006/relationships/hyperlink" Target="https://www.linkedin.com/learning/revenue-staffing-and-expense-models-explained?trk=ondemandfile" TargetMode="External"/><Relationship Id="rId99" Type="http://schemas.openxmlformats.org/officeDocument/2006/relationships/hyperlink" Target="https://www.linkedin.com/learning/master-confident-presentations?trk=ondemandfile" TargetMode="External"/><Relationship Id="rId98" Type="http://schemas.openxmlformats.org/officeDocument/2006/relationships/hyperlink" Target="https://www.linkedin.com/learning/pricing-strategy-explained?trk=ondemandfile" TargetMode="External"/><Relationship Id="rId91" Type="http://schemas.openxmlformats.org/officeDocument/2006/relationships/hyperlink" Target="https://www.linkedin.com/learning/17-pr-mistakes-to-avoid?trk=ondemandfile" TargetMode="External"/><Relationship Id="rId90" Type="http://schemas.openxmlformats.org/officeDocument/2006/relationships/hyperlink" Target="https://www.linkedin.com/learning/outsourcing-managing-service-transition?trk=ondemandfile" TargetMode="External"/><Relationship Id="rId93" Type="http://schemas.openxmlformats.org/officeDocument/2006/relationships/hyperlink" Target="https://www.linkedin.com/learning/finding-your-idea-hook?trk=ondemandfile" TargetMode="External"/><Relationship Id="rId92" Type="http://schemas.openxmlformats.org/officeDocument/2006/relationships/hyperlink" Target="https://www.linkedin.com/learning/the-most-important-content-kpis-for-creators?trk=ondemandfile" TargetMode="External"/><Relationship Id="rId140" Type="http://schemas.openxmlformats.org/officeDocument/2006/relationships/drawing" Target="../drawings/drawing14.xml"/><Relationship Id="rId139" Type="http://schemas.openxmlformats.org/officeDocument/2006/relationships/hyperlink" Target="https://www.linkedin.com/learning/outsourcing-management?trk=ondemandfile" TargetMode="External"/><Relationship Id="rId138" Type="http://schemas.openxmlformats.org/officeDocument/2006/relationships/hyperlink" Target="https://www.linkedin.com/learning/outsourcing-critical-success-factors?trk=ondemandfile" TargetMode="External"/><Relationship Id="rId137" Type="http://schemas.openxmlformats.org/officeDocument/2006/relationships/hyperlink" Target="https://www.linkedin.com/learning/design-thinking-understanding-the-process?trk=ondemandfile" TargetMode="External"/><Relationship Id="rId132" Type="http://schemas.openxmlformats.org/officeDocument/2006/relationships/hyperlink" Target="https://www.linkedin.com/learning/following-the-digital-thread?trk=ondemandfile" TargetMode="External"/><Relationship Id="rId131" Type="http://schemas.openxmlformats.org/officeDocument/2006/relationships/hyperlink" Target="https://www.linkedin.com/learning/sap-bi-bw-project-design-and-implementation?trk=ondemandfile" TargetMode="External"/><Relationship Id="rId130" Type="http://schemas.openxmlformats.org/officeDocument/2006/relationships/hyperlink" Target="https://www.linkedin.com/learning/introduction-to-sap-bi-bw?trk=ondemandfile" TargetMode="External"/><Relationship Id="rId136" Type="http://schemas.openxmlformats.org/officeDocument/2006/relationships/hyperlink" Target="https://www.linkedin.com/learning/how-to-make-strategic-thinking-a-habit?trk=ondemandfile" TargetMode="External"/><Relationship Id="rId135" Type="http://schemas.openxmlformats.org/officeDocument/2006/relationships/hyperlink" Target="https://www.linkedin.com/learning/supply-chain-and-operations-careers-certification-tips-and-tricks?trk=ondemandfile" TargetMode="External"/><Relationship Id="rId134" Type="http://schemas.openxmlformats.org/officeDocument/2006/relationships/hyperlink" Target="https://www.linkedin.com/learning/operational-excellence-foundations?trk=ondemandfile" TargetMode="External"/><Relationship Id="rId133" Type="http://schemas.openxmlformats.org/officeDocument/2006/relationships/hyperlink" Target="https://www.linkedin.com/learning/supply-chain-basics-for-everyone?trk=ondemandfile" TargetMode="External"/><Relationship Id="rId107" Type="http://schemas.openxmlformats.org/officeDocument/2006/relationships/hyperlink" Target="https://www.linkedin.com/learning/how-to-stand-out-remotely?trk=ondemandfile" TargetMode="External"/><Relationship Id="rId106" Type="http://schemas.openxmlformats.org/officeDocument/2006/relationships/hyperlink" Target="https://www.linkedin.com/learning/how-blockchains-will-change-business?trk=ondemandfile" TargetMode="External"/><Relationship Id="rId105" Type="http://schemas.openxmlformats.org/officeDocument/2006/relationships/hyperlink" Target="https://www.linkedin.com/learning/presentation-tips-weekly?trk=ondemandfile" TargetMode="External"/><Relationship Id="rId104" Type="http://schemas.openxmlformats.org/officeDocument/2006/relationships/hyperlink" Target="https://www.linkedin.com/learning/operations-management-weekly-serial-planning-q2-2018?trk=ondemandfile" TargetMode="External"/><Relationship Id="rId109" Type="http://schemas.openxmlformats.org/officeDocument/2006/relationships/hyperlink" Target="https://www.linkedin.com/learning/understanding-logistics?trk=ondemandfile" TargetMode="External"/><Relationship Id="rId108" Type="http://schemas.openxmlformats.org/officeDocument/2006/relationships/hyperlink" Target="https://www.linkedin.com/learning/design-thinking-implementing-the-process?trk=ondemandfile" TargetMode="External"/><Relationship Id="rId103" Type="http://schemas.openxmlformats.org/officeDocument/2006/relationships/hyperlink" Target="https://www.linkedin.com/learning/delivery-tips-for-speaking-in-public?trk=ondemandfile" TargetMode="External"/><Relationship Id="rId102" Type="http://schemas.openxmlformats.org/officeDocument/2006/relationships/hyperlink" Target="https://www.linkedin.com/learning/quality-management-foundations?trk=ondemandfile" TargetMode="External"/><Relationship Id="rId101" Type="http://schemas.openxmlformats.org/officeDocument/2006/relationships/hyperlink" Target="https://www.linkedin.com/learning/shane-snow-on-storytelling?trk=ondemandfile" TargetMode="External"/><Relationship Id="rId100" Type="http://schemas.openxmlformats.org/officeDocument/2006/relationships/hyperlink" Target="https://www.linkedin.com/learning/data-ethics-managing-your-private-customer-data?trk=ondemandfile" TargetMode="External"/><Relationship Id="rId129" Type="http://schemas.openxmlformats.org/officeDocument/2006/relationships/hyperlink" Target="https://www.linkedin.com/learning/ai-in-fintech-essential-training?trk=ondemandfile" TargetMode="External"/><Relationship Id="rId128" Type="http://schemas.openxmlformats.org/officeDocument/2006/relationships/hyperlink" Target="https://www.linkedin.com/learning/sap-ariba-supply-chain-collaboration-overview?trk=ondemandfile" TargetMode="External"/><Relationship Id="rId127" Type="http://schemas.openxmlformats.org/officeDocument/2006/relationships/hyperlink" Target="https://www.linkedin.com/learning/predictive-analytics-essential-training-for-executives?trk=ondemandfile" TargetMode="External"/><Relationship Id="rId126" Type="http://schemas.openxmlformats.org/officeDocument/2006/relationships/hyperlink" Target="https://www.linkedin.com/learning/agile-software-development-clean-coding-practices?trk=ondemandfile" TargetMode="External"/><Relationship Id="rId121" Type="http://schemas.openxmlformats.org/officeDocument/2006/relationships/hyperlink" Target="https://www.linkedin.com/learning/purchasing?trk=ondemandfile" TargetMode="External"/><Relationship Id="rId120" Type="http://schemas.openxmlformats.org/officeDocument/2006/relationships/hyperlink" Target="https://www.linkedin.com/learning/product-management-building-a-product-strategy?trk=ondemandfile" TargetMode="External"/><Relationship Id="rId125" Type="http://schemas.openxmlformats.org/officeDocument/2006/relationships/hyperlink" Target="https://www.linkedin.com/learning/excel-implementing-balanced-scorecards-with-kpis?trk=ondemandfile" TargetMode="External"/><Relationship Id="rId124" Type="http://schemas.openxmlformats.org/officeDocument/2006/relationships/hyperlink" Target="https://www.linkedin.com/learning/managing-logistics?trk=ondemandfile" TargetMode="External"/><Relationship Id="rId123" Type="http://schemas.openxmlformats.org/officeDocument/2006/relationships/hyperlink" Target="https://www.linkedin.com/learning/business-investment-analysis?trk=ondemandfile" TargetMode="External"/><Relationship Id="rId122" Type="http://schemas.openxmlformats.org/officeDocument/2006/relationships/hyperlink" Target="https://www.linkedin.com/learning/six-sigma-green-belt?trk=ondemandfile" TargetMode="External"/><Relationship Id="rId118" Type="http://schemas.openxmlformats.org/officeDocument/2006/relationships/hyperlink" Target="https://www.linkedin.com/learning/lean-technology-strategy-starting-your-business-transformation-2?trk=ondemandfile" TargetMode="External"/><Relationship Id="rId117" Type="http://schemas.openxmlformats.org/officeDocument/2006/relationships/hyperlink" Target="https://www.linkedin.com/learning/lean-six-sigma-define-and-measure-tools?trk=ondemandfile" TargetMode="External"/><Relationship Id="rId116" Type="http://schemas.openxmlformats.org/officeDocument/2006/relationships/hyperlink" Target="https://www.linkedin.com/learning/lean-six-sigma-analyze-improve-and-control-tools?trk=ondemandfile" TargetMode="External"/><Relationship Id="rId115" Type="http://schemas.openxmlformats.org/officeDocument/2006/relationships/hyperlink" Target="https://www.linkedin.com/learning/implementing-supply-chain-management?trk=ondemandfile" TargetMode="External"/><Relationship Id="rId119" Type="http://schemas.openxmlformats.org/officeDocument/2006/relationships/hyperlink" Target="https://www.linkedin.com/learning/lean-six-sigma-work-out-and-kaizen-facilitator?trk=ondemandfile" TargetMode="External"/><Relationship Id="rId110" Type="http://schemas.openxmlformats.org/officeDocument/2006/relationships/hyperlink" Target="https://www.linkedin.com/learning/implementing-a-vulnerability-management-lifecycle?trk=ondemandfile" TargetMode="External"/><Relationship Id="rId114" Type="http://schemas.openxmlformats.org/officeDocument/2006/relationships/hyperlink" Target="https://www.linkedin.com/learning/enterprise-agile-changing-your-culture?trk=ondemandfile" TargetMode="External"/><Relationship Id="rId113" Type="http://schemas.openxmlformats.org/officeDocument/2006/relationships/hyperlink" Target="https://www.linkedin.com/learning/excel-supply-chain-analysis-solving-transportation-problems?trk=ondemandfile" TargetMode="External"/><Relationship Id="rId112" Type="http://schemas.openxmlformats.org/officeDocument/2006/relationships/hyperlink" Target="https://www.linkedin.com/learning/ux-deep-dive-remote-research?trk=ondemandfile" TargetMode="External"/><Relationship Id="rId111" Type="http://schemas.openxmlformats.org/officeDocument/2006/relationships/hyperlink" Target="https://www.linkedin.com/learning/business-process-improvement?trk=ondemandfile"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linkedin.com/learning/lean-technology-strategy-economic-frameworks-for-portfolio-and-product-management?trk=ondemandfile" TargetMode="External"/><Relationship Id="rId2" Type="http://schemas.openxmlformats.org/officeDocument/2006/relationships/hyperlink" Target="https://www.linkedin.com/learning/paths/become-an-agile-project-manager?trk=ondemandfile" TargetMode="External"/><Relationship Id="rId3" Type="http://schemas.openxmlformats.org/officeDocument/2006/relationships/hyperlink" Target="https://www.linkedin.com/learning/cmo-foundations-measuring-marketing-effectiveness-roi?trk=ondemandfile" TargetMode="External"/><Relationship Id="rId4" Type="http://schemas.openxmlformats.org/officeDocument/2006/relationships/hyperlink" Target="https://www.linkedin.com/learning/paths/become-a-sales-manager?trk=ondemandfile" TargetMode="External"/><Relationship Id="rId9" Type="http://schemas.openxmlformats.org/officeDocument/2006/relationships/hyperlink" Target="https://www.linkedin.com/learning/business-analyst-foundations-babok-knowledge-areas?trk=ondemandfile" TargetMode="External"/><Relationship Id="rId5" Type="http://schemas.openxmlformats.org/officeDocument/2006/relationships/hyperlink" Target="https://www.linkedin.com/learning/how-to-be-an-effective-project-sponsor?trk=ondemandfile" TargetMode="External"/><Relationship Id="rId6" Type="http://schemas.openxmlformats.org/officeDocument/2006/relationships/hyperlink" Target="https://www.linkedin.com/learning/paths/become-a-business-analyst?trk=ondemandfile" TargetMode="External"/><Relationship Id="rId7" Type="http://schemas.openxmlformats.org/officeDocument/2006/relationships/hyperlink" Target="https://www.linkedin.com/learning/business-fundamentals-for-customer-success-managers?trk=ondemandfile" TargetMode="External"/><Relationship Id="rId8" Type="http://schemas.openxmlformats.org/officeDocument/2006/relationships/hyperlink" Target="https://www.linkedin.com/learning/paths/become-a-sales-representative?trk=ondemandfile" TargetMode="External"/><Relationship Id="rId40" Type="http://schemas.openxmlformats.org/officeDocument/2006/relationships/hyperlink" Target="https://www.linkedin.com/learning/project-management-choosing-the-right-online-too?trk=ondemandfile" TargetMode="External"/><Relationship Id="rId42" Type="http://schemas.openxmlformats.org/officeDocument/2006/relationships/hyperlink" Target="https://www.linkedin.com/learning/salesforce-essential-training?trk=ondemandfile" TargetMode="External"/><Relationship Id="rId41" Type="http://schemas.openxmlformats.org/officeDocument/2006/relationships/hyperlink" Target="https://www.linkedin.com/learning/paths/become-a-project-manager?trk=ondemandfile" TargetMode="External"/><Relationship Id="rId44" Type="http://schemas.openxmlformats.org/officeDocument/2006/relationships/hyperlink" Target="https://www.linkedin.com/learning/paths/become-a-project-scheduler?trk=ondemandfile" TargetMode="External"/><Relationship Id="rId43" Type="http://schemas.openxmlformats.org/officeDocument/2006/relationships/hyperlink" Target="https://www.linkedin.com/learning/increase-effectiveness-with-lessons-learned?trk=ondemandfile" TargetMode="External"/><Relationship Id="rId46" Type="http://schemas.openxmlformats.org/officeDocument/2006/relationships/hyperlink" Target="https://www.linkedin.com/learning/job-interview-tips-for-project-managers?trk=ondemandfile" TargetMode="External"/><Relationship Id="rId45" Type="http://schemas.openxmlformats.org/officeDocument/2006/relationships/hyperlink" Target="https://www.linkedin.com/learning/purpose-driven-sales-2021?trk=contentmappingfile" TargetMode="External"/><Relationship Id="rId48" Type="http://schemas.openxmlformats.org/officeDocument/2006/relationships/hyperlink" Target="https://www.linkedin.com/learning/3-simple-steps-to-the-perfect-sales-pitch?trk=ondemandfile" TargetMode="External"/><Relationship Id="rId47" Type="http://schemas.openxmlformats.org/officeDocument/2006/relationships/hyperlink" Target="https://www.linkedin.com/learning/paths/becoming-a-six-sigma-black-belt?trk=ondemandfile" TargetMode="External"/><Relationship Id="rId49" Type="http://schemas.openxmlformats.org/officeDocument/2006/relationships/hyperlink" Target="https://www.linkedin.com/learning/business-analysis-foundations-enterprise?trk=ondemandfile" TargetMode="External"/><Relationship Id="rId31" Type="http://schemas.openxmlformats.org/officeDocument/2006/relationships/hyperlink" Target="https://www.linkedin.com/learning/inside-sales-managing-sales-rep-personas?trk=ondemandfile" TargetMode="External"/><Relationship Id="rId30" Type="http://schemas.openxmlformats.org/officeDocument/2006/relationships/hyperlink" Target="https://www.linkedin.com/learning/paths/become-a-product-manager-2?trk=ondemandfile" TargetMode="External"/><Relationship Id="rId33" Type="http://schemas.openxmlformats.org/officeDocument/2006/relationships/hyperlink" Target="https://www.linkedin.com/learning/agile-project-leadership?trk=ondemandfile" TargetMode="External"/><Relationship Id="rId32" Type="http://schemas.openxmlformats.org/officeDocument/2006/relationships/hyperlink" Target="https://www.linkedin.com/learning/paths/develop-your-sales-knowledge-and-skills?trk=ondemandfile" TargetMode="External"/><Relationship Id="rId35" Type="http://schemas.openxmlformats.org/officeDocument/2006/relationships/hyperlink" Target="https://www.linkedin.com/learning/the-neuroscience-of-selling-remotely?trk=ondemandfile" TargetMode="External"/><Relationship Id="rId34" Type="http://schemas.openxmlformats.org/officeDocument/2006/relationships/hyperlink" Target="https://www.linkedin.com/learning/paths/become-a-program-manager?trk=ondemandfile" TargetMode="External"/><Relationship Id="rId37" Type="http://schemas.openxmlformats.org/officeDocument/2006/relationships/hyperlink" Target="https://www.linkedin.com/learning/managing-and-working-with-a-technical-team-for-nontechnical-professionals?trk=ondemandfile" TargetMode="External"/><Relationship Id="rId36" Type="http://schemas.openxmlformats.org/officeDocument/2006/relationships/hyperlink" Target="https://www.linkedin.com/learning/paths/succeeding-in-sales-during-times-of-volatility?trk=ondemandfile" TargetMode="External"/><Relationship Id="rId39" Type="http://schemas.openxmlformats.org/officeDocument/2006/relationships/hyperlink" Target="https://www.linkedin.com/learning/microsoft-dynamics-365-essential-training-2021?trk=ondemandfile" TargetMode="External"/><Relationship Id="rId38" Type="http://schemas.openxmlformats.org/officeDocument/2006/relationships/hyperlink" Target="https://www.linkedin.com/learning/paths/become-a-project-coordinator?trk=ondemandfile" TargetMode="External"/><Relationship Id="rId20" Type="http://schemas.openxmlformats.org/officeDocument/2006/relationships/hyperlink" Target="https://www.linkedin.com/learning/paths/build-your-skills-in-sales-development?trk=ondemandfile" TargetMode="External"/><Relationship Id="rId22" Type="http://schemas.openxmlformats.org/officeDocument/2006/relationships/hyperlink" Target="https://www.linkedin.com/learning/paths/become-a-portfolio-manager?trk=ondemandfile" TargetMode="External"/><Relationship Id="rId21" Type="http://schemas.openxmlformats.org/officeDocument/2006/relationships/hyperlink" Target="https://www.linkedin.com/learning/leading-remote-projects-and-virtual-teams?trk=ondemandfile" TargetMode="External"/><Relationship Id="rId24" Type="http://schemas.openxmlformats.org/officeDocument/2006/relationships/hyperlink" Target="https://www.linkedin.com/learning/paths/create-a-successful-pitch-for-investors?trk=ondemandfile" TargetMode="External"/><Relationship Id="rId23" Type="http://schemas.openxmlformats.org/officeDocument/2006/relationships/hyperlink" Target="https://www.linkedin.com/learning/sales-management-foundations-2022?trk=ondemandfile" TargetMode="External"/><Relationship Id="rId26" Type="http://schemas.openxmlformats.org/officeDocument/2006/relationships/hyperlink" Target="https://www.linkedin.com/learning/paths/become-an-outsourcing-specialist?trk=ondemandfile" TargetMode="External"/><Relationship Id="rId25" Type="http://schemas.openxmlformats.org/officeDocument/2006/relationships/hyperlink" Target="https://www.linkedin.com/learning/mistakes-to-avoid-in-agile-project-management?trk=ondemandfile" TargetMode="External"/><Relationship Id="rId28" Type="http://schemas.openxmlformats.org/officeDocument/2006/relationships/hyperlink" Target="https://www.linkedin.com/learning/paths/develop-your-customer-service-skills?trk=ondemandfile" TargetMode="External"/><Relationship Id="rId27" Type="http://schemas.openxmlformats.org/officeDocument/2006/relationships/hyperlink" Target="https://www.linkedin.com/learning/sales-forecasting-2022?trk=ondemandfile" TargetMode="External"/><Relationship Id="rId29" Type="http://schemas.openxmlformats.org/officeDocument/2006/relationships/hyperlink" Target="https://www.linkedin.com/learning/managing-in-a-matrixed-organization?trk=ondemandfile" TargetMode="External"/><Relationship Id="rId11" Type="http://schemas.openxmlformats.org/officeDocument/2006/relationships/hyperlink" Target="https://www.linkedin.com/learning/retail-sales-management?trk=ondemandfile" TargetMode="External"/><Relationship Id="rId10" Type="http://schemas.openxmlformats.org/officeDocument/2006/relationships/hyperlink" Target="https://www.linkedin.com/learning/paths/become-a-business-intelligence-specialist?trk=ondemandfile" TargetMode="External"/><Relationship Id="rId13" Type="http://schemas.openxmlformats.org/officeDocument/2006/relationships/hyperlink" Target="https://www.linkedin.com/learning/project-management-skills-for-leaders?trk=ondemandfile" TargetMode="External"/><Relationship Id="rId12" Type="http://schemas.openxmlformats.org/officeDocument/2006/relationships/hyperlink" Target="https://www.linkedin.com/learning/paths/become-a-retail-sales-associate?trk=ondemandfile" TargetMode="External"/><Relationship Id="rId15" Type="http://schemas.openxmlformats.org/officeDocument/2006/relationships/hyperlink" Target="https://www.linkedin.com/learning/building-and-fostering-a-great-sales-culture?trk=ondemandfile" TargetMode="External"/><Relationship Id="rId14" Type="http://schemas.openxmlformats.org/officeDocument/2006/relationships/hyperlink" Target="https://www.linkedin.com/learning/paths/become-a-government-project-manager?trk=ondemandfile" TargetMode="External"/><Relationship Id="rId17" Type="http://schemas.openxmlformats.org/officeDocument/2006/relationships/hyperlink" Target="https://www.linkedin.com/learning/creating-a-culture-of-service?trk=ondemandfile" TargetMode="External"/><Relationship Id="rId16" Type="http://schemas.openxmlformats.org/officeDocument/2006/relationships/hyperlink" Target="https://www.linkedin.com/learning/paths/build-your-skills-in-customer-billing-support?trk=ondemandfile" TargetMode="External"/><Relationship Id="rId19" Type="http://schemas.openxmlformats.org/officeDocument/2006/relationships/hyperlink" Target="https://www.linkedin.com/learning/sales-coaching-2021?trk=ondemandfile" TargetMode="External"/><Relationship Id="rId18" Type="http://schemas.openxmlformats.org/officeDocument/2006/relationships/hyperlink" Target="https://www.linkedin.com/learning/paths/become-a-healthcare-project-manager?trk=ondemandfile" TargetMode="External"/><Relationship Id="rId84" Type="http://schemas.openxmlformats.org/officeDocument/2006/relationships/hyperlink" Target="https://www.linkedin.com/learning/hoshin-plan-ning?trk=ondemandfile" TargetMode="External"/><Relationship Id="rId83" Type="http://schemas.openxmlformats.org/officeDocument/2006/relationships/hyperlink" Target="https://www.linkedin.com/learning/avoiding-common-pitfalls-in-customer-success-management?trk=ondemandfile" TargetMode="External"/><Relationship Id="rId86" Type="http://schemas.openxmlformats.org/officeDocument/2006/relationships/hyperlink" Target="https://www.linkedin.com/learning/implementing-lean-a-case-study?trk=ondemandfile" TargetMode="External"/><Relationship Id="rId85" Type="http://schemas.openxmlformats.org/officeDocument/2006/relationships/hyperlink" Target="https://www.linkedin.com/learning/onboarding-and-adoption-best-practices-for-customer-success-management?trk=ondemandfile" TargetMode="External"/><Relationship Id="rId88" Type="http://schemas.openxmlformats.org/officeDocument/2006/relationships/hyperlink" Target="https://www.linkedin.com/learning/from-resisting-to-embracing-lean-a-case-study?trk=ondemandfile" TargetMode="External"/><Relationship Id="rId87" Type="http://schemas.openxmlformats.org/officeDocument/2006/relationships/hyperlink" Target="https://www.linkedin.com/learning/business-analytics-sales-data?trk=ondemandfile" TargetMode="External"/><Relationship Id="rId89" Type="http://schemas.openxmlformats.org/officeDocument/2006/relationships/hyperlink" Target="https://www.linkedin.com/learning/cold-calling-mastery?trk=ondemandfile" TargetMode="External"/><Relationship Id="rId80" Type="http://schemas.openxmlformats.org/officeDocument/2006/relationships/hyperlink" Target="https://www.linkedin.com/learning/software-project-management-foundations?trk=ondemandfile" TargetMode="External"/><Relationship Id="rId82" Type="http://schemas.openxmlformats.org/officeDocument/2006/relationships/hyperlink" Target="https://www.linkedin.com/learning/project-management-simplified-2?trk=ondemandfile" TargetMode="External"/><Relationship Id="rId81" Type="http://schemas.openxmlformats.org/officeDocument/2006/relationships/hyperlink" Target="https://www.linkedin.com/learning/value-realization-best-practices-for-customer-success-management?trk=ondemandfile" TargetMode="External"/><Relationship Id="rId73" Type="http://schemas.openxmlformats.org/officeDocument/2006/relationships/hyperlink" Target="https://www.linkedin.com/learning/skilled-trades-resumes-and-portfolios?trk=ondemandfile" TargetMode="External"/><Relationship Id="rId72" Type="http://schemas.openxmlformats.org/officeDocument/2006/relationships/hyperlink" Target="https://www.linkedin.com/learning/following-up-after-a-sales-meeting?trk=ondemandfile" TargetMode="External"/><Relationship Id="rId75" Type="http://schemas.openxmlformats.org/officeDocument/2006/relationships/hyperlink" Target="https://www.linkedin.com/learning/sales-discovery?trk=ondemandfile" TargetMode="External"/><Relationship Id="rId74" Type="http://schemas.openxmlformats.org/officeDocument/2006/relationships/hyperlink" Target="https://www.linkedin.com/learning/paths/stay-ahead-in-construction-management?trk=ondemandfile" TargetMode="External"/><Relationship Id="rId77" Type="http://schemas.openxmlformats.org/officeDocument/2006/relationships/hyperlink" Target="https://www.linkedin.com/learning/social-selling-foundations-2?trk=ondemandfile" TargetMode="External"/><Relationship Id="rId76" Type="http://schemas.openxmlformats.org/officeDocument/2006/relationships/hyperlink" Target="https://www.linkedin.com/learning/project-management-foundations-requirements-2?trk=ondemandfile" TargetMode="External"/><Relationship Id="rId79" Type="http://schemas.openxmlformats.org/officeDocument/2006/relationships/hyperlink" Target="https://www.linkedin.com/learning/customer-success-management-fundamentals?trk=ondemandfile" TargetMode="External"/><Relationship Id="rId78" Type="http://schemas.openxmlformats.org/officeDocument/2006/relationships/hyperlink" Target="https://www.linkedin.com/learning/project-management-foundations-teams-2019?trk=ondemandfile" TargetMode="External"/><Relationship Id="rId71" Type="http://schemas.openxmlformats.org/officeDocument/2006/relationships/hyperlink" Target="https://www.linkedin.com/learning/paths/prepare-for-the-pmi-acp-certification?trk=ondemandfile" TargetMode="External"/><Relationship Id="rId70" Type="http://schemas.openxmlformats.org/officeDocument/2006/relationships/hyperlink" Target="https://www.linkedin.com/learning/project-management-foundations-ethics-2?trk=ondemandfile" TargetMode="External"/><Relationship Id="rId62" Type="http://schemas.openxmlformats.org/officeDocument/2006/relationships/hyperlink" Target="https://www.linkedin.com/learning/paths/become-a-technical-program-manager?trk=ondemandfile" TargetMode="External"/><Relationship Id="rId61" Type="http://schemas.openxmlformats.org/officeDocument/2006/relationships/hyperlink" Target="https://www.linkedin.com/learning/project-management-foundations-integration-2?trk=ondemandfile" TargetMode="External"/><Relationship Id="rId64" Type="http://schemas.openxmlformats.org/officeDocument/2006/relationships/hyperlink" Target="https://www.linkedin.com/learning/project-management-foundations-small-projects-2?trk=ondemandfile" TargetMode="External"/><Relationship Id="rId63" Type="http://schemas.openxmlformats.org/officeDocument/2006/relationships/hyperlink" Target="https://www.linkedin.com/learning/delivering-a-great-sales-pitch?trk=ondemandfile" TargetMode="External"/><Relationship Id="rId66" Type="http://schemas.openxmlformats.org/officeDocument/2006/relationships/hyperlink" Target="https://www.linkedin.com/learning/sales-foundations?trk=ondemandfile" TargetMode="External"/><Relationship Id="rId65" Type="http://schemas.openxmlformats.org/officeDocument/2006/relationships/hyperlink" Target="https://www.linkedin.com/learning/paths/develop-your-project-management-skills?trk=ondemandfile" TargetMode="External"/><Relationship Id="rId68" Type="http://schemas.openxmlformats.org/officeDocument/2006/relationships/hyperlink" Target="https://www.linkedin.com/learning/paths/improve-your-business-analysis-skills?trk=ondemandfile" TargetMode="External"/><Relationship Id="rId67" Type="http://schemas.openxmlformats.org/officeDocument/2006/relationships/hyperlink" Target="https://www.linkedin.com/learning/project-management-preventing-scope-creep-2?trk=ondemandfile" TargetMode="External"/><Relationship Id="rId60" Type="http://schemas.openxmlformats.org/officeDocument/2006/relationships/hyperlink" Target="https://www.linkedin.com/learning/inclusive-selling-selling-across-culture-race-and-gender-differences?trk=ondemandfile" TargetMode="External"/><Relationship Id="rId69" Type="http://schemas.openxmlformats.org/officeDocument/2006/relationships/hyperlink" Target="https://www.linkedin.com/learning/networking-for-sales-professionals?trk=ondemandfile" TargetMode="External"/><Relationship Id="rId51" Type="http://schemas.openxmlformats.org/officeDocument/2006/relationships/hyperlink" Target="https://www.linkedin.com/learning/sales-precall-prep-for-virtual-or-in-person-deals?trk=ondemandfile" TargetMode="External"/><Relationship Id="rId50" Type="http://schemas.openxmlformats.org/officeDocument/2006/relationships/hyperlink" Target="https://www.linkedin.com/learning/paths/becoming-a-six-sigma-green-belt?trk=ondemandfile" TargetMode="External"/><Relationship Id="rId53" Type="http://schemas.openxmlformats.org/officeDocument/2006/relationships/hyperlink" Target="https://www.linkedin.com/learning/paths/become-a-six-sigma-yellow-belt?trk=ondemandfile" TargetMode="External"/><Relationship Id="rId52" Type="http://schemas.openxmlformats.org/officeDocument/2006/relationships/hyperlink" Target="https://www.linkedin.com/learning/complex-project-tips-and-tricks?trk=ondemandfile" TargetMode="External"/><Relationship Id="rId55" Type="http://schemas.openxmlformats.org/officeDocument/2006/relationships/hyperlink" Target="https://www.linkedin.com/learning/project-management-for-creative-projects-3?trk=ondemandfile" TargetMode="External"/><Relationship Id="rId54" Type="http://schemas.openxmlformats.org/officeDocument/2006/relationships/hyperlink" Target="https://www.linkedin.com/learning/inside-sales-2021?trk=ondemandfile" TargetMode="External"/><Relationship Id="rId57" Type="http://schemas.openxmlformats.org/officeDocument/2006/relationships/hyperlink" Target="https://www.linkedin.com/learning/sales-strategies-and-approaches-in-a-new-world-of-selling?trk=ondemandfile" TargetMode="External"/><Relationship Id="rId56" Type="http://schemas.openxmlformats.org/officeDocument/2006/relationships/hyperlink" Target="https://www.linkedin.com/learning/paths/become-a-software-project-manager?trk=ondemandfile" TargetMode="External"/><Relationship Id="rId59" Type="http://schemas.openxmlformats.org/officeDocument/2006/relationships/hyperlink" Target="https://docs.google.com/spreadsheets/d/125lXqIcHUrmOCQ3PkPvx9WmMu_iMuq6e8fL-2NaMLiA/edit" TargetMode="External"/><Relationship Id="rId58" Type="http://schemas.openxmlformats.org/officeDocument/2006/relationships/hyperlink" Target="https://www.linkedin.com/learning/agile-coaching?trk=ondemandfile" TargetMode="External"/><Relationship Id="rId95" Type="http://schemas.openxmlformats.org/officeDocument/2006/relationships/hyperlink" Target="https://www.linkedin.com/learning/creating-your-sales-process-2?trk=ondemandfile" TargetMode="External"/><Relationship Id="rId94" Type="http://schemas.openxmlformats.org/officeDocument/2006/relationships/hyperlink" Target="https://www.linkedin.com/learning/time-management-tips-teamwork?trk=ondemandfile" TargetMode="External"/><Relationship Id="rId97" Type="http://schemas.openxmlformats.org/officeDocument/2006/relationships/hyperlink" Target="https://www.linkedin.com/learning/sales-fundamentals?trk=ondemandfile" TargetMode="External"/><Relationship Id="rId96" Type="http://schemas.openxmlformats.org/officeDocument/2006/relationships/hyperlink" Target="https://www.linkedin.com/learning/introducing-the-pmbok-guide-seventh-edition?trk=ondemandfile" TargetMode="External"/><Relationship Id="rId99" Type="http://schemas.openxmlformats.org/officeDocument/2006/relationships/hyperlink" Target="https://www.linkedin.com/learning/cold-calling-overcoming-sales-objections?trk=ondemandfile" TargetMode="External"/><Relationship Id="rId98" Type="http://schemas.openxmlformats.org/officeDocument/2006/relationships/hyperlink" Target="https://www.linkedin.com/learning/productivity-prioritizing-at-work?trk=ondemandfile" TargetMode="External"/><Relationship Id="rId91" Type="http://schemas.openxmlformats.org/officeDocument/2006/relationships/hyperlink" Target="https://www.linkedin.com/learning/prepare-yourself-for-a-career-in-sales-2?trk=ondemandfile" TargetMode="External"/><Relationship Id="rId90" Type="http://schemas.openxmlformats.org/officeDocument/2006/relationships/hyperlink" Target="https://www.linkedin.com/learning/project-management-tips?trk=ondemandfile" TargetMode="External"/><Relationship Id="rId93" Type="http://schemas.openxmlformats.org/officeDocument/2006/relationships/hyperlink" Target="https://www.linkedin.com/learning/engagement-preparation-best-practices-for-customer-success-management?trk=ondemandfile" TargetMode="External"/><Relationship Id="rId92" Type="http://schemas.openxmlformats.org/officeDocument/2006/relationships/hyperlink" Target="https://www.linkedin.com/learning/time-management-tips-2019?trk=ondemandfile" TargetMode="External"/><Relationship Id="rId225" Type="http://schemas.openxmlformats.org/officeDocument/2006/relationships/drawing" Target="../drawings/drawing15.xml"/><Relationship Id="rId220" Type="http://schemas.openxmlformats.org/officeDocument/2006/relationships/hyperlink" Target="https://www.linkedin.com/learning/running-a-design-business-writing-and-pricing-winning-proposals?trk=ondemandfile" TargetMode="External"/><Relationship Id="rId224" Type="http://schemas.openxmlformats.org/officeDocument/2006/relationships/hyperlink" Target="https://www.linkedin.com/learning/how-to-create-a-life-of-meaning-and-purpose?trk=ondemandfile" TargetMode="External"/><Relationship Id="rId223" Type="http://schemas.openxmlformats.org/officeDocument/2006/relationships/hyperlink" Target="https://www.linkedin.com/learning/flip-the-script-a-toolkit-for-sellers-and-negotiators-blinkist-summary?trk=ondemandfile" TargetMode="External"/><Relationship Id="rId222" Type="http://schemas.openxmlformats.org/officeDocument/2006/relationships/hyperlink" Target="https://www.linkedin.com/learning/sales-management-simplified-blinkist-summary?trk=ondemandfile" TargetMode="External"/><Relationship Id="rId221" Type="http://schemas.openxmlformats.org/officeDocument/2006/relationships/hyperlink" Target="https://www.linkedin.com/learning/just-ask-dean-karrel?trk=ondemandfile" TargetMode="External"/><Relationship Id="rId217" Type="http://schemas.openxmlformats.org/officeDocument/2006/relationships/hyperlink" Target="https://www.linkedin.com/learning/selling-to-the-c-suite?trk=ondemandfile" TargetMode="External"/><Relationship Id="rId216" Type="http://schemas.openxmlformats.org/officeDocument/2006/relationships/hyperlink" Target="https://www.linkedin.com/learning/advanced-persuasive-selling-persuading-different-personality-types?trk=ondemandfile" TargetMode="External"/><Relationship Id="rId215" Type="http://schemas.openxmlformats.org/officeDocument/2006/relationships/hyperlink" Target="https://www.linkedin.com/learning/sales-closing-strategies?trk=ondemandfile" TargetMode="External"/><Relationship Id="rId214" Type="http://schemas.openxmlformats.org/officeDocument/2006/relationships/hyperlink" Target="https://www.linkedin.com/learning/how-to-manage-lean-six-sigma-projects-part-ii?trk=ondemandfile" TargetMode="External"/><Relationship Id="rId219" Type="http://schemas.openxmlformats.org/officeDocument/2006/relationships/hyperlink" Target="https://www.linkedin.com/learning/influencing-others?trk=ondemandfile" TargetMode="External"/><Relationship Id="rId218" Type="http://schemas.openxmlformats.org/officeDocument/2006/relationships/hyperlink" Target="https://www.linkedin.com/learning/advanced-lead-generation?trk=ondemandfile" TargetMode="External"/><Relationship Id="rId213" Type="http://schemas.openxmlformats.org/officeDocument/2006/relationships/hyperlink" Target="https://www.linkedin.com/learning/the-persuasion-code-the-neuroscience-of-sales?trk=ondemandfile" TargetMode="External"/><Relationship Id="rId212" Type="http://schemas.openxmlformats.org/officeDocument/2006/relationships/hyperlink" Target="https://www.linkedin.com/learning/advanced-agile-the-team-s-mindset?trk=ondemandfile" TargetMode="External"/><Relationship Id="rId211" Type="http://schemas.openxmlformats.org/officeDocument/2006/relationships/hyperlink" Target="https://www.linkedin.com/learning/cold-calling-the-first-seven-seconds?trk=ondemandfile" TargetMode="External"/><Relationship Id="rId210" Type="http://schemas.openxmlformats.org/officeDocument/2006/relationships/hyperlink" Target="https://www.linkedin.com/learning/tailoring-project-delivery?trk=ondemandfile" TargetMode="External"/><Relationship Id="rId206" Type="http://schemas.openxmlformats.org/officeDocument/2006/relationships/hyperlink" Target="https://www.linkedin.com/learning/how-to-manage-lean-six-sigma-projects-part-i?trk=ondemandfile" TargetMode="External"/><Relationship Id="rId205" Type="http://schemas.openxmlformats.org/officeDocument/2006/relationships/hyperlink" Target="https://www.linkedin.com/learning/sales-and-the-science-of-trust?trk=ondemandfile" TargetMode="External"/><Relationship Id="rId204" Type="http://schemas.openxmlformats.org/officeDocument/2006/relationships/hyperlink" Target="https://www.linkedin.com/learning/project-management-technical-projects-2021?trk=ondemandfile" TargetMode="External"/><Relationship Id="rId203" Type="http://schemas.openxmlformats.org/officeDocument/2006/relationships/hyperlink" Target="https://www.linkedin.com/learning/managing-your-sales-process-2020?trk=ondemandfile" TargetMode="External"/><Relationship Id="rId209" Type="http://schemas.openxmlformats.org/officeDocument/2006/relationships/hyperlink" Target="https://www.linkedin.com/learning/selling-using-champions?trk=ondemandfile" TargetMode="External"/><Relationship Id="rId208" Type="http://schemas.openxmlformats.org/officeDocument/2006/relationships/hyperlink" Target="https://www.linkedin.com/learning/project-resource-management?trk=ondemandfile" TargetMode="External"/><Relationship Id="rId207" Type="http://schemas.openxmlformats.org/officeDocument/2006/relationships/hyperlink" Target="https://www.linkedin.com/learning/controlling-the-sale?trk=ondemandfile" TargetMode="External"/><Relationship Id="rId202" Type="http://schemas.openxmlformats.org/officeDocument/2006/relationships/hyperlink" Target="https://www.linkedin.com/learning/agile-project-management-with-microsoft-project-2021?trk=ondemandfile" TargetMode="External"/><Relationship Id="rId201" Type="http://schemas.openxmlformats.org/officeDocument/2006/relationships/hyperlink" Target="https://www.linkedin.com/learning/cold-email-prospecting?trk=ondemandfile" TargetMode="External"/><Relationship Id="rId200" Type="http://schemas.openxmlformats.org/officeDocument/2006/relationships/hyperlink" Target="https://www.linkedin.com/learning/hybrid-project-management-do-what-works?trk=ondemandfile" TargetMode="External"/><Relationship Id="rId190" Type="http://schemas.openxmlformats.org/officeDocument/2006/relationships/hyperlink" Target="https://www.linkedin.com/learning/how-to-fix-bad-agile?trk=ondemandfile" TargetMode="External"/><Relationship Id="rId194" Type="http://schemas.openxmlformats.org/officeDocument/2006/relationships/hyperlink" Target="https://www.linkedin.com/learning/what-is-disciplined-agile?trk=ondemandfile" TargetMode="External"/><Relationship Id="rId193" Type="http://schemas.openxmlformats.org/officeDocument/2006/relationships/hyperlink" Target="https://www.linkedin.com/learning/empathy-for-sales-professionals?trk=ondemandfile" TargetMode="External"/><Relationship Id="rId192" Type="http://schemas.openxmlformats.org/officeDocument/2006/relationships/hyperlink" Target="https://www.linkedin.com/learning/agile-rebranding?trk=ondemandfile" TargetMode="External"/><Relationship Id="rId191" Type="http://schemas.openxmlformats.org/officeDocument/2006/relationships/hyperlink" Target="https://www.linkedin.com/learning/sales-enablement?trk=ondemandfile" TargetMode="External"/><Relationship Id="rId187" Type="http://schemas.openxmlformats.org/officeDocument/2006/relationships/hyperlink" Target="https://www.linkedin.com/learning/sales-handling-objections?trk=ondemandfile" TargetMode="External"/><Relationship Id="rId186" Type="http://schemas.openxmlformats.org/officeDocument/2006/relationships/hyperlink" Target="https://www.linkedin.com/learning/jira-basic-administration?trk=ondemandfile" TargetMode="External"/><Relationship Id="rId185" Type="http://schemas.openxmlformats.org/officeDocument/2006/relationships/hyperlink" Target="https://www.linkedin.com/learning/cross-selling?trk=ondemandfile" TargetMode="External"/><Relationship Id="rId184" Type="http://schemas.openxmlformats.org/officeDocument/2006/relationships/hyperlink" Target="https://www.linkedin.com/learning/trello-for-agile-teams?trk=ondemandfile" TargetMode="External"/><Relationship Id="rId189" Type="http://schemas.openxmlformats.org/officeDocument/2006/relationships/hyperlink" Target="https://www.linkedin.com/learning/aligning-sales-and-marketing?trk=ondemandfile" TargetMode="External"/><Relationship Id="rId188" Type="http://schemas.openxmlformats.org/officeDocument/2006/relationships/hyperlink" Target="https://www.linkedin.com/learning/artificial-intelligence-how-project-managers-can-leverage-ai?trk=ondemandfile" TargetMode="External"/><Relationship Id="rId183" Type="http://schemas.openxmlformats.org/officeDocument/2006/relationships/hyperlink" Target="https://www.linkedin.com/learning/social-selling-benchmarks-and-scorecard?trk=ondemandfile" TargetMode="External"/><Relationship Id="rId182" Type="http://schemas.openxmlformats.org/officeDocument/2006/relationships/hyperlink" Target="https://www.linkedin.com/learning/the-top-pmo-challenges?trk=ondemandfile" TargetMode="External"/><Relationship Id="rId181" Type="http://schemas.openxmlformats.org/officeDocument/2006/relationships/hyperlink" Target="https://www.linkedin.com/learning/sales-data-driven-sales-management?trk=ondemandfile" TargetMode="External"/><Relationship Id="rId180" Type="http://schemas.openxmlformats.org/officeDocument/2006/relationships/hyperlink" Target="https://www.linkedin.com/learning/project-management-foundations-risk-2018?trk=ondemandfile" TargetMode="External"/><Relationship Id="rId176" Type="http://schemas.openxmlformats.org/officeDocument/2006/relationships/hyperlink" Target="https://www.linkedin.com/learning/project-management-foundations-budgets-2019?trk=ondemandfile" TargetMode="External"/><Relationship Id="rId175" Type="http://schemas.openxmlformats.org/officeDocument/2006/relationships/hyperlink" Target="https://www.linkedin.com/learning/develop-a-service-orientation?trk=ondemandfile" TargetMode="External"/><Relationship Id="rId174" Type="http://schemas.openxmlformats.org/officeDocument/2006/relationships/hyperlink" Target="https://www.linkedin.com/learning/how-to-build-a-product-roadmap?trk=ondemandfile" TargetMode="External"/><Relationship Id="rId173" Type="http://schemas.openxmlformats.org/officeDocument/2006/relationships/hyperlink" Target="https://www.linkedin.com/learning/key-account-management?trk=ondemandfile" TargetMode="External"/><Relationship Id="rId179" Type="http://schemas.openxmlformats.org/officeDocument/2006/relationships/hyperlink" Target="https://www.linkedin.com/learning/sales-pipeline-management?trk=ondemandfile" TargetMode="External"/><Relationship Id="rId178" Type="http://schemas.openxmlformats.org/officeDocument/2006/relationships/hyperlink" Target="https://www.linkedin.com/learning/project-management-foundations-procurement-2?trk=ondemandfile" TargetMode="External"/><Relationship Id="rId177" Type="http://schemas.openxmlformats.org/officeDocument/2006/relationships/hyperlink" Target="https://www.linkedin.com/learning/sales-customer-success?trk=ondemandfile" TargetMode="External"/><Relationship Id="rId198" Type="http://schemas.openxmlformats.org/officeDocument/2006/relationships/hyperlink" Target="https://www.linkedin.com/learning/tailoring-project-delivery?trk=ondemandfile" TargetMode="External"/><Relationship Id="rId197" Type="http://schemas.openxmlformats.org/officeDocument/2006/relationships/hyperlink" Target="https://www.linkedin.com/learning/selling-with-empathy-during-uncertain-times?trk=ondemandfile" TargetMode="External"/><Relationship Id="rId196" Type="http://schemas.openxmlformats.org/officeDocument/2006/relationships/hyperlink" Target="https://www.linkedin.com/learning/advanced-basecamp?trk=ondemandfile" TargetMode="External"/><Relationship Id="rId195" Type="http://schemas.openxmlformats.org/officeDocument/2006/relationships/hyperlink" Target="https://www.linkedin.com/learning/asking-great-sales-questions-2019?trk=ondemandfile" TargetMode="External"/><Relationship Id="rId199" Type="http://schemas.openxmlformats.org/officeDocument/2006/relationships/hyperlink" Target="https://www.linkedin.com/learning/social-selling-reaching-prospects?trk=ondemandfile" TargetMode="External"/><Relationship Id="rId150" Type="http://schemas.openxmlformats.org/officeDocument/2006/relationships/hyperlink" Target="https://www.linkedin.com/learning/gemba-kaizen-a-common-sense-approach-to-continuous-improvement-blinkist-summary?trk=ondemandfile" TargetMode="External"/><Relationship Id="rId149" Type="http://schemas.openxmlformats.org/officeDocument/2006/relationships/hyperlink" Target="https://www.linkedin.com/learning/sales-well-being-managing-anxiety-burnout-and-rejection?trk=ondemandfile" TargetMode="External"/><Relationship Id="rId148" Type="http://schemas.openxmlformats.org/officeDocument/2006/relationships/hyperlink" Target="https://www.linkedin.com/learning/emotional-intelligence-for-project-managers-blinkist-summary?trk=ondemandfile" TargetMode="External"/><Relationship Id="rId143" Type="http://schemas.openxmlformats.org/officeDocument/2006/relationships/hyperlink" Target="https://www.linkedin.com/learning/the-top-three-negotiation-myths?trk=ondemandfile" TargetMode="External"/><Relationship Id="rId142" Type="http://schemas.openxmlformats.org/officeDocument/2006/relationships/hyperlink" Target="https://www.linkedin.com/learning/how-to-create-and-run-a-brilliant-remote-workshop?trk=ondemandfile" TargetMode="External"/><Relationship Id="rId141" Type="http://schemas.openxmlformats.org/officeDocument/2006/relationships/hyperlink" Target="https://www.linkedin.com/learning/three-tips-for-dealing-with-deception-in-negotiations?trk=ondemandfile" TargetMode="External"/><Relationship Id="rId140" Type="http://schemas.openxmlformats.org/officeDocument/2006/relationships/hyperlink" Target="https://www.linkedin.com/learning/what-is-scrum?trk=ondemandfile" TargetMode="External"/><Relationship Id="rId147" Type="http://schemas.openxmlformats.org/officeDocument/2006/relationships/hyperlink" Target="https://www.linkedin.com/learning/mindsets-and-strategies-for-negotiation-success?trk=ondemandfile" TargetMode="External"/><Relationship Id="rId146" Type="http://schemas.openxmlformats.org/officeDocument/2006/relationships/hyperlink" Target="https://www.linkedin.com/learning/linkedin-learning-highlights-project-management?trk=ondemandfile" TargetMode="External"/><Relationship Id="rId145" Type="http://schemas.openxmlformats.org/officeDocument/2006/relationships/hyperlink" Target="https://www.linkedin.com/learning/how-to-save-face-in-a-negotiation?trk=ondemandfile" TargetMode="External"/><Relationship Id="rId144" Type="http://schemas.openxmlformats.org/officeDocument/2006/relationships/hyperlink" Target="https://www.linkedin.com/learning/comparing-agile-versus-waterfall-project-management?trk=ondemandfile" TargetMode="External"/><Relationship Id="rId139" Type="http://schemas.openxmlformats.org/officeDocument/2006/relationships/hyperlink" Target="https://www.linkedin.com/learning/how-to-prepare-for-your-negotiations?trk=ondemandfile" TargetMode="External"/><Relationship Id="rId138" Type="http://schemas.openxmlformats.org/officeDocument/2006/relationships/hyperlink" Target="https://www.linkedin.com/learning/what-is-a-pmo?trk=ondemandfile" TargetMode="External"/><Relationship Id="rId137" Type="http://schemas.openxmlformats.org/officeDocument/2006/relationships/hyperlink" Target="https://www.linkedin.com/learning/sales-time-management?trk=ondemandfile" TargetMode="External"/><Relationship Id="rId132" Type="http://schemas.openxmlformats.org/officeDocument/2006/relationships/hyperlink" Target="https://www.linkedin.com/learning/introduction-to-disciplined-agile?trk=ondemandfile" TargetMode="External"/><Relationship Id="rId131" Type="http://schemas.openxmlformats.org/officeDocument/2006/relationships/hyperlink" Target="https://www.linkedin.com/learning/creating-flow?trk=ondemandfile" TargetMode="External"/><Relationship Id="rId130" Type="http://schemas.openxmlformats.org/officeDocument/2006/relationships/hyperlink" Target="https://www.linkedin.com/learning/construction-industry-safety?trk=ondemandfile" TargetMode="External"/><Relationship Id="rId136" Type="http://schemas.openxmlformats.org/officeDocument/2006/relationships/hyperlink" Target="https://www.linkedin.com/learning/project-management-foundations-communication-2019?trk=ondemandfile" TargetMode="External"/><Relationship Id="rId135" Type="http://schemas.openxmlformats.org/officeDocument/2006/relationships/hyperlink" Target="https://www.linkedin.com/learning/the-52-best-sales-prospecting-tips?trk=ondemandfile" TargetMode="External"/><Relationship Id="rId134" Type="http://schemas.openxmlformats.org/officeDocument/2006/relationships/hyperlink" Target="https://www.linkedin.com/learning/what-is-program-management?trk=ondemandfile" TargetMode="External"/><Relationship Id="rId133" Type="http://schemas.openxmlformats.org/officeDocument/2006/relationships/hyperlink" Target="https://www.linkedin.com/learning/overcoming-rejection?trk=ondemandfile" TargetMode="External"/><Relationship Id="rId172" Type="http://schemas.openxmlformats.org/officeDocument/2006/relationships/hyperlink" Target="https://www.linkedin.com/learning/leading-projects?trk=ondemandfile" TargetMode="External"/><Relationship Id="rId171" Type="http://schemas.openxmlformats.org/officeDocument/2006/relationships/hyperlink" Target="https://www.linkedin.com/learning/persuasive-selling?trk=ondemandfile" TargetMode="External"/><Relationship Id="rId170" Type="http://schemas.openxmlformats.org/officeDocument/2006/relationships/hyperlink" Target="https://www.linkedin.com/learning/9367b560-3855-3d38-9d9b-4ff0d83dd4d4?trk=ondemandfile" TargetMode="External"/><Relationship Id="rId165" Type="http://schemas.openxmlformats.org/officeDocument/2006/relationships/hyperlink" Target="https://www.linkedin.com/learning/making-great-sales-presentations?trk=ondemandfile" TargetMode="External"/><Relationship Id="rId164" Type="http://schemas.openxmlformats.org/officeDocument/2006/relationships/hyperlink" Target="https://www.linkedin.com/learning/creating-a-program-strategy?trk=ondemandfile" TargetMode="External"/><Relationship Id="rId163" Type="http://schemas.openxmlformats.org/officeDocument/2006/relationships/hyperlink" Target="https://www.linkedin.com/learning/sales-prospecting?trk=ondemandfile" TargetMode="External"/><Relationship Id="rId162" Type="http://schemas.openxmlformats.org/officeDocument/2006/relationships/hyperlink" Target="https://www.linkedin.com/learning/how-to-successfully-lead-a-pmo?trk=ondemandfile" TargetMode="External"/><Relationship Id="rId169" Type="http://schemas.openxmlformats.org/officeDocument/2006/relationships/hyperlink" Target="https://www.linkedin.com/learning/sales-negotiation?trk=ondemandfile" TargetMode="External"/><Relationship Id="rId168" Type="http://schemas.openxmlformats.org/officeDocument/2006/relationships/hyperlink" Target="https://www.linkedin.com/learning/blending-project-management-methods?trk=ondemandfile" TargetMode="External"/><Relationship Id="rId167" Type="http://schemas.openxmlformats.org/officeDocument/2006/relationships/hyperlink" Target="https://www.linkedin.com/learning/identify-sales-growth-opportunities?trk=ondemandfile" TargetMode="External"/><Relationship Id="rId166" Type="http://schemas.openxmlformats.org/officeDocument/2006/relationships/hyperlink" Target="https://www.linkedin.com/learning/adaptive-project-leadership?trk=ondemandfile" TargetMode="External"/><Relationship Id="rId161" Type="http://schemas.openxmlformats.org/officeDocument/2006/relationships/hyperlink" Target="https://www.linkedin.com/learning/the-science-of-sales?trk=ondemandfile" TargetMode="External"/><Relationship Id="rId160" Type="http://schemas.openxmlformats.org/officeDocument/2006/relationships/hyperlink" Target="https://www.linkedin.com/learning/data-driven-project-management-project-metrics-that-matter?trk=contentmappingfile" TargetMode="External"/><Relationship Id="rId159" Type="http://schemas.openxmlformats.org/officeDocument/2006/relationships/hyperlink" Target="https://www.linkedin.com/learning/creating-powerful-sales-proposals?trk=ondemandfile" TargetMode="External"/><Relationship Id="rId154" Type="http://schemas.openxmlformats.org/officeDocument/2006/relationships/hyperlink" Target="https://www.linkedin.com/learning/managing-change-on-an-agile-project?trk=ondemandfile" TargetMode="External"/><Relationship Id="rId153" Type="http://schemas.openxmlformats.org/officeDocument/2006/relationships/hyperlink" Target="https://www.linkedin.com/learning/aftersale-maintaining-relationships?trk=ondemandfile" TargetMode="External"/><Relationship Id="rId152" Type="http://schemas.openxmlformats.org/officeDocument/2006/relationships/hyperlink" Target="https://www.linkedin.com/learning/become-a-project-management-entrepreneur?trk=ondemandfile" TargetMode="External"/><Relationship Id="rId151" Type="http://schemas.openxmlformats.org/officeDocument/2006/relationships/hyperlink" Target="https://www.linkedin.com/learning/startup-stories-clothing-salesman-invents-baby-harness?trk=ondemandfile" TargetMode="External"/><Relationship Id="rId158" Type="http://schemas.openxmlformats.org/officeDocument/2006/relationships/hyperlink" Target="https://www.linkedin.com/learning/change-management-with-limited-resources?trk=contentmappingfile" TargetMode="External"/><Relationship Id="rId157" Type="http://schemas.openxmlformats.org/officeDocument/2006/relationships/hyperlink" Target="https://www.linkedin.com/learning/how-to-overcome-a-sales-slump?trk=ondemandfile" TargetMode="External"/><Relationship Id="rId156" Type="http://schemas.openxmlformats.org/officeDocument/2006/relationships/hyperlink" Target="https://www.linkedin.com/learning/why-projects-fail-and-how-to-improve-their-success?trk=contentmappingfile" TargetMode="External"/><Relationship Id="rId155" Type="http://schemas.openxmlformats.org/officeDocument/2006/relationships/hyperlink" Target="https://www.linkedin.com/learning/reframing-to-overcome-sales-objections?trk=ondemandfile" TargetMode="External"/><Relationship Id="rId107" Type="http://schemas.openxmlformats.org/officeDocument/2006/relationships/hyperlink" Target="https://www.linkedin.com/learning/mastering-authentic-influence-for-highly-successful-sales?trk=ondemandfile" TargetMode="External"/><Relationship Id="rId106" Type="http://schemas.openxmlformats.org/officeDocument/2006/relationships/hyperlink" Target="https://www.linkedin.com/learning/agile-it-s-not-just-for-software?trk=ondemandfile" TargetMode="External"/><Relationship Id="rId105" Type="http://schemas.openxmlformats.org/officeDocument/2006/relationships/hyperlink" Target="https://www.linkedin.com/learning/cold-calling-business-leaders?trk=ondemandfile" TargetMode="External"/><Relationship Id="rId104" Type="http://schemas.openxmlformats.org/officeDocument/2006/relationships/hyperlink" Target="https://www.linkedin.com/learning/be-a-project-motivator-unlock-the-secrets-of-strengths-based-project-management?trk=ondemandfile" TargetMode="External"/><Relationship Id="rId109" Type="http://schemas.openxmlformats.org/officeDocument/2006/relationships/hyperlink" Target="https://www.linkedin.com/learning/how-to-make-work-more-meaningful?trk=ondemandfile" TargetMode="External"/><Relationship Id="rId108" Type="http://schemas.openxmlformats.org/officeDocument/2006/relationships/hyperlink" Target="https://www.linkedin.com/learning/managing-projects-as-offices-reopen?trk=ondemandfile" TargetMode="External"/><Relationship Id="rId103" Type="http://schemas.openxmlformats.org/officeDocument/2006/relationships/hyperlink" Target="https://www.linkedin.com/learning/jeffrey-gitomer-s-little-red-book-of-sales-answers-getabstract-summary?trk=ondemandfile" TargetMode="External"/><Relationship Id="rId102" Type="http://schemas.openxmlformats.org/officeDocument/2006/relationships/hyperlink" Target="https://www.linkedin.com/learning/project-management-foundations-quality-2020?trk=ondemandfile" TargetMode="External"/><Relationship Id="rId101" Type="http://schemas.openxmlformats.org/officeDocument/2006/relationships/hyperlink" Target="https://www.linkedin.com/learning/selling-while-human?trk=ondemandfile" TargetMode="External"/><Relationship Id="rId100" Type="http://schemas.openxmlformats.org/officeDocument/2006/relationships/hyperlink" Target="https://www.linkedin.com/learning/project-leadership?trk=ondemandfile" TargetMode="External"/><Relationship Id="rId129" Type="http://schemas.openxmlformats.org/officeDocument/2006/relationships/hyperlink" Target="https://www.linkedin.com/learning/mindful-leadership?trk=ondemandfile" TargetMode="External"/><Relationship Id="rId128" Type="http://schemas.openxmlformats.org/officeDocument/2006/relationships/hyperlink" Target="https://www.linkedin.com/learning/transitioning-from-waterfall-to-agile-project-management-2019?trk=ondemandfile" TargetMode="External"/><Relationship Id="rId127" Type="http://schemas.openxmlformats.org/officeDocument/2006/relationships/hyperlink" Target="https://www.linkedin.com/learning/introduction-to-visualization-meditation?trk=ondemandfile" TargetMode="External"/><Relationship Id="rId126" Type="http://schemas.openxmlformats.org/officeDocument/2006/relationships/hyperlink" Target="https://www.linkedin.com/learning/managing-project-stakeholders-2?trk=ondemandfile" TargetMode="External"/><Relationship Id="rId121" Type="http://schemas.openxmlformats.org/officeDocument/2006/relationships/hyperlink" Target="https://www.linkedin.com/learning/introduction-to-mind-like-sky-meditation?trk=ondemandfile" TargetMode="External"/><Relationship Id="rId120" Type="http://schemas.openxmlformats.org/officeDocument/2006/relationships/hyperlink" Target="https://www.linkedin.com/learning/transition-management-for-agile-environments?trk=ondemandfile" TargetMode="External"/><Relationship Id="rId125" Type="http://schemas.openxmlformats.org/officeDocument/2006/relationships/hyperlink" Target="https://www.linkedin.com/learning/introduction-to-forgiveness-meditation?trk=ondemandfile" TargetMode="External"/><Relationship Id="rId124" Type="http://schemas.openxmlformats.org/officeDocument/2006/relationships/hyperlink" Target="https://www.linkedin.com/learning/product-management-tips?trk=ondemandfile" TargetMode="External"/><Relationship Id="rId123" Type="http://schemas.openxmlformats.org/officeDocument/2006/relationships/hyperlink" Target="https://www.linkedin.com/learning/introduction-to-loving-kindness-meditation?trk=ondemandfile" TargetMode="External"/><Relationship Id="rId122" Type="http://schemas.openxmlformats.org/officeDocument/2006/relationships/hyperlink" Target="https://www.linkedin.com/learning/project-management-foundations-2019?trk=ondemandfile" TargetMode="External"/><Relationship Id="rId118" Type="http://schemas.openxmlformats.org/officeDocument/2006/relationships/hyperlink" Target="https://www.linkedin.com/learning/project-canvas-a-simple-framework-to-learn-project-management-fundamentals?trk=ondemandfile" TargetMode="External"/><Relationship Id="rId117" Type="http://schemas.openxmlformats.org/officeDocument/2006/relationships/hyperlink" Target="https://www.linkedin.com/learning/mindful-stress-management?trk=ondemandfile" TargetMode="External"/><Relationship Id="rId116" Type="http://schemas.openxmlformats.org/officeDocument/2006/relationships/hyperlink" Target="https://www.linkedin.com/learning/asking-effective-questions-during-requirements-elicitation?trk=ondemandfile" TargetMode="External"/><Relationship Id="rId115" Type="http://schemas.openxmlformats.org/officeDocument/2006/relationships/hyperlink" Target="https://www.linkedin.com/learning/winding-down-get-a-better-night-s-sleep?trk=ondemandfile" TargetMode="External"/><Relationship Id="rId119" Type="http://schemas.openxmlformats.org/officeDocument/2006/relationships/hyperlink" Target="https://www.linkedin.com/learning/introduction-to-gratitude-meditation?trk=ondemandfile" TargetMode="External"/><Relationship Id="rId110" Type="http://schemas.openxmlformats.org/officeDocument/2006/relationships/hyperlink" Target="https://www.linkedin.com/learning/mindfulness-a-critical-skill-for-project-managers?trk=ondemandfile" TargetMode="External"/><Relationship Id="rId114" Type="http://schemas.openxmlformats.org/officeDocument/2006/relationships/hyperlink" Target="https://www.linkedin.com/learning/project-management-fundamentals-for-non-project-managers?trk=ondemandfile" TargetMode="External"/><Relationship Id="rId113" Type="http://schemas.openxmlformats.org/officeDocument/2006/relationships/hyperlink" Target="https://www.linkedin.com/learning/embracing-change-with-mindfulness?trk=ondemandfile" TargetMode="External"/><Relationship Id="rId112" Type="http://schemas.openxmlformats.org/officeDocument/2006/relationships/hyperlink" Target="https://www.linkedin.com/learning/build-a-successful-career-in-project-management?trk=ondemandfile" TargetMode="External"/><Relationship Id="rId111" Type="http://schemas.openxmlformats.org/officeDocument/2006/relationships/hyperlink" Target="https://www.linkedin.com/learning/mindful-productivity?trk=ondemandfile"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linkedin.com/learning/creating-a-culture-of-change?trk=ondemandfile" TargetMode="External"/><Relationship Id="rId2" Type="http://schemas.openxmlformats.org/officeDocument/2006/relationships/hyperlink" Target="https://www.linkedin.com/learning/paths/applying-lean-devops-and-agile-to-your-it-organization?trk=ondemandfile" TargetMode="External"/><Relationship Id="rId3" Type="http://schemas.openxmlformats.org/officeDocument/2006/relationships/hyperlink" Target="https://www.linkedin.com/learning/the-future-of-work-the-necessary-skills-of-your-future-workforce?trk=contentmappingfile" TargetMode="External"/><Relationship Id="rId4" Type="http://schemas.openxmlformats.org/officeDocument/2006/relationships/hyperlink" Target="https://www.linkedin.com/learning/paths/advance-your-skills-as-a-manager?trk=ondemandfile" TargetMode="External"/><Relationship Id="rId9" Type="http://schemas.openxmlformats.org/officeDocument/2006/relationships/hyperlink" Target="https://www.linkedin.com/learning/global-strategy?trk=ondemandfile" TargetMode="External"/><Relationship Id="rId5" Type="http://schemas.openxmlformats.org/officeDocument/2006/relationships/hyperlink" Target="https://www.linkedin.com/learning/creating-a-culture-of-strategy-execution?trk=ondemandfile" TargetMode="External"/><Relationship Id="rId6" Type="http://schemas.openxmlformats.org/officeDocument/2006/relationships/hyperlink" Target="https://www.linkedin.com/learning/paths/become-a-business-analyst?trk=ondemandfile" TargetMode="External"/><Relationship Id="rId7" Type="http://schemas.openxmlformats.org/officeDocument/2006/relationships/hyperlink" Target="https://www.linkedin.com/learning/built-to-last-successful-habits-of-visionary-companies?trk=ondemandfile" TargetMode="External"/><Relationship Id="rId8" Type="http://schemas.openxmlformats.org/officeDocument/2006/relationships/hyperlink" Target="https://www.linkedin.com/learning/paths/become-an-administrative-professional?trk=ondemandfile" TargetMode="External"/><Relationship Id="rId40" Type="http://schemas.openxmlformats.org/officeDocument/2006/relationships/hyperlink" Target="https://www.linkedin.com/learning/the-purpose-effect-getabstract-summary?trk=ondemandfile" TargetMode="External"/><Relationship Id="rId42" Type="http://schemas.openxmlformats.org/officeDocument/2006/relationships/hyperlink" Target="https://www.linkedin.com/learning/creating-the-conditions-for-others-to-thrive?trk=ondemandfile" TargetMode="External"/><Relationship Id="rId41" Type="http://schemas.openxmlformats.org/officeDocument/2006/relationships/hyperlink" Target="https://www.linkedin.com/learning/competitive-strategy?trk=ondemandfile" TargetMode="External"/><Relationship Id="rId44" Type="http://schemas.openxmlformats.org/officeDocument/2006/relationships/hyperlink" Target="https://www.linkedin.com/learning/employee-experience?trk=ondemandfile" TargetMode="External"/><Relationship Id="rId43" Type="http://schemas.openxmlformats.org/officeDocument/2006/relationships/hyperlink" Target="https://www.linkedin.com/learning/designing-growth-strategies?trk=ondemandfile" TargetMode="External"/><Relationship Id="rId46" Type="http://schemas.openxmlformats.org/officeDocument/2006/relationships/hyperlink" Target="https://www.linkedin.com/learning/managing-multiple-generations-2?trk=ondemandfile" TargetMode="External"/><Relationship Id="rId45" Type="http://schemas.openxmlformats.org/officeDocument/2006/relationships/hyperlink" Target="https://www.linkedin.com/learning/sustainability-strategies?trk=ondemandfile" TargetMode="External"/><Relationship Id="rId48" Type="http://schemas.openxmlformats.org/officeDocument/2006/relationships/hyperlink" Target="https://www.linkedin.com/learning/human-centered-leadership?trk=ondemandfile" TargetMode="External"/><Relationship Id="rId47" Type="http://schemas.openxmlformats.org/officeDocument/2006/relationships/hyperlink" Target="https://www.linkedin.com/learning/aaron-dignan-on-transformational-change?trk=ondemandfile" TargetMode="External"/><Relationship Id="rId49" Type="http://schemas.openxmlformats.org/officeDocument/2006/relationships/hyperlink" Target="https://www.linkedin.com/learning/reid-hoffman-and-chris-yeh-on-blitzscaling?trk=ondemandfile" TargetMode="External"/><Relationship Id="rId31" Type="http://schemas.openxmlformats.org/officeDocument/2006/relationships/hyperlink" Target="https://www.linkedin.com/learning/goal-setting-objectives-and-key-results-okrs?trk=ondemandfile" TargetMode="External"/><Relationship Id="rId30" Type="http://schemas.openxmlformats.org/officeDocument/2006/relationships/hyperlink" Target="https://www.linkedin.com/learning/paths/develop-your-strategic-planning-skills?trk=ondemandfile" TargetMode="External"/><Relationship Id="rId33" Type="http://schemas.openxmlformats.org/officeDocument/2006/relationships/hyperlink" Target="https://www.linkedin.com/learning/data-strategy?trk=contentmappingfile" TargetMode="External"/><Relationship Id="rId32" Type="http://schemas.openxmlformats.org/officeDocument/2006/relationships/hyperlink" Target="https://www.linkedin.com/learning/paths/improve-your-coaching-skills-as-a-manager?trk=ondemandfile" TargetMode="External"/><Relationship Id="rId35" Type="http://schemas.openxmlformats.org/officeDocument/2006/relationships/hyperlink" Target="https://www.linkedin.com/learning/rewarding-employee-performance?trk=ondemandfile" TargetMode="External"/><Relationship Id="rId34" Type="http://schemas.openxmlformats.org/officeDocument/2006/relationships/hyperlink" Target="https://www.linkedin.com/learning/paths/digital-transformation-for-leaders?trk=ondemandfile" TargetMode="External"/><Relationship Id="rId37" Type="http://schemas.openxmlformats.org/officeDocument/2006/relationships/hyperlink" Target="https://www.linkedin.com/learning/paths/managing-change?trk=ondemandfile" TargetMode="External"/><Relationship Id="rId36" Type="http://schemas.openxmlformats.org/officeDocument/2006/relationships/hyperlink" Target="https://www.linkedin.com/learning/privacy-for-executives?trk=ondemandfile" TargetMode="External"/><Relationship Id="rId39" Type="http://schemas.openxmlformats.org/officeDocument/2006/relationships/hyperlink" Target="https://www.linkedin.com/learning/mergers-acquisitions?trk=ondemandfile" TargetMode="External"/><Relationship Id="rId38" Type="http://schemas.openxmlformats.org/officeDocument/2006/relationships/hyperlink" Target="https://www.linkedin.com/learning/ram-charan-on-coaching-high-potentials?trk=ondemandfile" TargetMode="External"/><Relationship Id="rId20" Type="http://schemas.openxmlformats.org/officeDocument/2006/relationships/hyperlink" Target="https://www.linkedin.com/learning/paths/develop-motivate-and-retain-employees?trk=ondemandfile" TargetMode="External"/><Relationship Id="rId22" Type="http://schemas.openxmlformats.org/officeDocument/2006/relationships/hyperlink" Target="https://www.linkedin.com/learning/paths/become-a-content-strategist-2?trk=ondemandfile" TargetMode="External"/><Relationship Id="rId21" Type="http://schemas.openxmlformats.org/officeDocument/2006/relationships/hyperlink" Target="https://www.linkedin.com/learning/implementing-your-it-strategy?trk=ondemandfile" TargetMode="External"/><Relationship Id="rId24" Type="http://schemas.openxmlformats.org/officeDocument/2006/relationships/hyperlink" Target="https://www.linkedin.com/learning/paths/diversity-inclusion-and-belonging-for-leaders-and-managers?trk=ondemandfile" TargetMode="External"/><Relationship Id="rId23" Type="http://schemas.openxmlformats.org/officeDocument/2006/relationships/hyperlink" Target="https://www.linkedin.com/learning/creating-a-positive-and-healthy-work-environment?trk=ondemandfile" TargetMode="External"/><Relationship Id="rId26" Type="http://schemas.openxmlformats.org/officeDocument/2006/relationships/hyperlink" Target="https://www.linkedin.com/learning/paths/build-essential-data-skills?trk=ondemandfile" TargetMode="External"/><Relationship Id="rId25" Type="http://schemas.openxmlformats.org/officeDocument/2006/relationships/hyperlink" Target="https://www.linkedin.com/learning/digital-transformation-2?trk=ondemandfile" TargetMode="External"/><Relationship Id="rId28" Type="http://schemas.openxmlformats.org/officeDocument/2006/relationships/hyperlink" Target="https://www.linkedin.com/learning/paths/finding-and-retaining-talent?trk=ondemandfile" TargetMode="External"/><Relationship Id="rId27" Type="http://schemas.openxmlformats.org/officeDocument/2006/relationships/hyperlink" Target="https://www.linkedin.com/learning/talent-management?trk=ondemandfile" TargetMode="External"/><Relationship Id="rId29" Type="http://schemas.openxmlformats.org/officeDocument/2006/relationships/hyperlink" Target="https://www.linkedin.com/learning/assessing-digital-maturity?trk=ondemandfile" TargetMode="External"/><Relationship Id="rId11" Type="http://schemas.openxmlformats.org/officeDocument/2006/relationships/hyperlink" Target="https://www.linkedin.com/learning/good-to-great?trk=ondemandfile" TargetMode="External"/><Relationship Id="rId10" Type="http://schemas.openxmlformats.org/officeDocument/2006/relationships/hyperlink" Target="https://www.linkedin.com/learning/paths/become-a-business-operations-associate?trk=ondemandfile" TargetMode="External"/><Relationship Id="rId13" Type="http://schemas.openxmlformats.org/officeDocument/2006/relationships/hyperlink" Target="https://www.linkedin.com/learning/digital-strategy?trk=ondemandfile" TargetMode="External"/><Relationship Id="rId12" Type="http://schemas.openxmlformats.org/officeDocument/2006/relationships/hyperlink" Target="https://www.linkedin.com/learning/paths/become-an-ld-professional?trk=ondemandfile" TargetMode="External"/><Relationship Id="rId15" Type="http://schemas.openxmlformats.org/officeDocument/2006/relationships/hyperlink" Target="https://www.linkedin.com/learning/succession-planning?trk=ondemandfile" TargetMode="External"/><Relationship Id="rId14" Type="http://schemas.openxmlformats.org/officeDocument/2006/relationships/hyperlink" Target="https://www.linkedin.com/learning/paths/become-a-business-unit-manager-2?trk=ondemandfile" TargetMode="External"/><Relationship Id="rId17" Type="http://schemas.openxmlformats.org/officeDocument/2006/relationships/hyperlink" Target="https://www.linkedin.com/learning/creating-your-it-strategy?trk=ondemandfile" TargetMode="External"/><Relationship Id="rId16" Type="http://schemas.openxmlformats.org/officeDocument/2006/relationships/hyperlink" Target="https://www.linkedin.com/learning/paths/become-a-senior-manager?trk=ondemandfile" TargetMode="External"/><Relationship Id="rId19" Type="http://schemas.openxmlformats.org/officeDocument/2006/relationships/hyperlink" Target="https://www.linkedin.com/learning/employee-engagement?trk=ondemandfile" TargetMode="External"/><Relationship Id="rId18" Type="http://schemas.openxmlformats.org/officeDocument/2006/relationships/hyperlink" Target="https://www.linkedin.com/learning/paths/become-a-corporate-financial-planning-analyst?trk=ondemandfile" TargetMode="External"/><Relationship Id="rId84" Type="http://schemas.openxmlformats.org/officeDocument/2006/relationships/hyperlink" Target="https://www.linkedin.com/learning/developing-leaders-on-your-team?trk=ondemandfile" TargetMode="External"/><Relationship Id="rId83" Type="http://schemas.openxmlformats.org/officeDocument/2006/relationships/hyperlink" Target="https://www.linkedin.com/learning/agile-negotiation?trk=ondemandfile" TargetMode="External"/><Relationship Id="rId86" Type="http://schemas.openxmlformats.org/officeDocument/2006/relationships/hyperlink" Target="https://www.linkedin.com/learning/managing-employee-performance-problems-2018?trk=ondemandfile" TargetMode="External"/><Relationship Id="rId85" Type="http://schemas.openxmlformats.org/officeDocument/2006/relationships/hyperlink" Target="https://www.linkedin.com/learning/business-leadership-social-change-and-movements?trk=ondemandfile" TargetMode="External"/><Relationship Id="rId88" Type="http://schemas.openxmlformats.org/officeDocument/2006/relationships/hyperlink" Target="https://www.linkedin.com/learning/persuasive-coaching?trk=ondemandfile" TargetMode="External"/><Relationship Id="rId87" Type="http://schemas.openxmlformats.org/officeDocument/2006/relationships/hyperlink" Target="https://www.linkedin.com/learning/planning-for-the-remote-first-work-from-anywhere-asynchronous-organization?trk=ondemandfile" TargetMode="External"/><Relationship Id="rId89" Type="http://schemas.openxmlformats.org/officeDocument/2006/relationships/hyperlink" Target="https://www.linkedin.com/learning/management-foundations-2018?trk=ondemandfile" TargetMode="External"/><Relationship Id="rId80" Type="http://schemas.openxmlformats.org/officeDocument/2006/relationships/hyperlink" Target="https://www.linkedin.com/learning/coaching-employees-through-difficult-situations?trk=ondemandfile" TargetMode="External"/><Relationship Id="rId82" Type="http://schemas.openxmlformats.org/officeDocument/2006/relationships/hyperlink" Target="https://www.linkedin.com/learning/coaching-skills-for-leaders-and-managers?trk=ondemandfile" TargetMode="External"/><Relationship Id="rId81" Type="http://schemas.openxmlformats.org/officeDocument/2006/relationships/hyperlink" Target="https://www.linkedin.com/learning/blue-ocean-shift?trk=ondemandfile" TargetMode="External"/><Relationship Id="rId73" Type="http://schemas.openxmlformats.org/officeDocument/2006/relationships/hyperlink" Target="https://www.linkedin.com/learning/strategic-planning-case-studies?trk=ondemandfile" TargetMode="External"/><Relationship Id="rId72" Type="http://schemas.openxmlformats.org/officeDocument/2006/relationships/hyperlink" Target="https://www.linkedin.com/learning/coaching-new-hires?trk=ondemandfile" TargetMode="External"/><Relationship Id="rId75" Type="http://schemas.openxmlformats.org/officeDocument/2006/relationships/hyperlink" Target="https://www.linkedin.com/learning/balancing-innovation-and-risk?trk=ondemandfile" TargetMode="External"/><Relationship Id="rId74" Type="http://schemas.openxmlformats.org/officeDocument/2006/relationships/hyperlink" Target="https://www.linkedin.com/learning/delegating-tasks?trk=ondemandfile" TargetMode="External"/><Relationship Id="rId77" Type="http://schemas.openxmlformats.org/officeDocument/2006/relationships/hyperlink" Target="https://www.linkedin.com/learning/scaling-up-excellence?trk=ondemandfile" TargetMode="External"/><Relationship Id="rId76" Type="http://schemas.openxmlformats.org/officeDocument/2006/relationships/hyperlink" Target="https://www.linkedin.com/learning/building-high-performance-teams?trk=ondemandfile" TargetMode="External"/><Relationship Id="rId79" Type="http://schemas.openxmlformats.org/officeDocument/2006/relationships/hyperlink" Target="https://www.linkedin.com/learning/strategic-focus-for-managers?trk=ondemandfile" TargetMode="External"/><Relationship Id="rId78" Type="http://schemas.openxmlformats.org/officeDocument/2006/relationships/hyperlink" Target="https://www.linkedin.com/learning/coaching-for-results?trk=ondemandfile" TargetMode="External"/><Relationship Id="rId71" Type="http://schemas.openxmlformats.org/officeDocument/2006/relationships/hyperlink" Target="https://www.linkedin.com/learning/leading-from-the-middle?trk=ondemandfile" TargetMode="External"/><Relationship Id="rId70" Type="http://schemas.openxmlformats.org/officeDocument/2006/relationships/hyperlink" Target="https://www.linkedin.com/learning/delivering-employee-feedback-2019?trk=ondemandfile" TargetMode="External"/><Relationship Id="rId62" Type="http://schemas.openxmlformats.org/officeDocument/2006/relationships/hyperlink" Target="https://www.linkedin.com/learning/virtual-performance-reviews-and-feedback?trk=ondemandfile" TargetMode="External"/><Relationship Id="rId61" Type="http://schemas.openxmlformats.org/officeDocument/2006/relationships/hyperlink" Target="https://www.linkedin.com/learning/strategic-partnerships?trk=ondemandfile" TargetMode="External"/><Relationship Id="rId64" Type="http://schemas.openxmlformats.org/officeDocument/2006/relationships/hyperlink" Target="https://www.linkedin.com/learning/lean-technology-strategy-building-high-performing-teams?trk=ondemandfile" TargetMode="External"/><Relationship Id="rId63" Type="http://schemas.openxmlformats.org/officeDocument/2006/relationships/hyperlink" Target="https://www.linkedin.com/learning/executive-decision-making?trk=ondemandfile" TargetMode="External"/><Relationship Id="rId66" Type="http://schemas.openxmlformats.org/officeDocument/2006/relationships/hyperlink" Target="https://www.linkedin.com/learning/motivating-and-engaging-employees-2?trk=ondemandfile" TargetMode="External"/><Relationship Id="rId65" Type="http://schemas.openxmlformats.org/officeDocument/2006/relationships/hyperlink" Target="https://www.linkedin.com/learning/executive-leadership?trk=ondemandfile" TargetMode="External"/><Relationship Id="rId68" Type="http://schemas.openxmlformats.org/officeDocument/2006/relationships/hyperlink" Target="https://www.linkedin.com/learning/coaching-and-developing-employees-2019?trk=ondemandfile" TargetMode="External"/><Relationship Id="rId67" Type="http://schemas.openxmlformats.org/officeDocument/2006/relationships/hyperlink" Target="https://www.linkedin.com/learning/organizational-learning-and-development?trk=ondemandfile" TargetMode="External"/><Relationship Id="rId60" Type="http://schemas.openxmlformats.org/officeDocument/2006/relationships/hyperlink" Target="https://www.linkedin.com/learning/how-to-set-team-and-employee-goals?trk=ondemandfile" TargetMode="External"/><Relationship Id="rId69" Type="http://schemas.openxmlformats.org/officeDocument/2006/relationships/hyperlink" Target="https://www.linkedin.com/learning/strategic-planning-foundations?trk=ondemandfile" TargetMode="External"/><Relationship Id="rId51" Type="http://schemas.openxmlformats.org/officeDocument/2006/relationships/hyperlink" Target="https://www.linkedin.com/learning/leading-with-vision?trk=ondemandfile" TargetMode="External"/><Relationship Id="rId50" Type="http://schemas.openxmlformats.org/officeDocument/2006/relationships/hyperlink" Target="https://www.linkedin.com/learning/360-degree-feedback?trk=ondemandfile" TargetMode="External"/><Relationship Id="rId53" Type="http://schemas.openxmlformats.org/officeDocument/2006/relationships/hyperlink" Target="https://www.linkedin.com/learning/strategic-partnerships-ecosystems-and-platforms?trk=ondemandfile" TargetMode="External"/><Relationship Id="rId52" Type="http://schemas.openxmlformats.org/officeDocument/2006/relationships/hyperlink" Target="https://www.linkedin.com/learning/working-with-an-executive-coach?trk=ondemandfile" TargetMode="External"/><Relationship Id="rId55" Type="http://schemas.openxmlformats.org/officeDocument/2006/relationships/hyperlink" Target="https://www.linkedin.com/learning/digital-technologies-case-studies-ai-iot-robotics-blockchain?trk=ondemandfile" TargetMode="External"/><Relationship Id="rId54" Type="http://schemas.openxmlformats.org/officeDocument/2006/relationships/hyperlink" Target="https://www.linkedin.com/learning/becoming-a-thought-leader-2?trk=ondemandfile" TargetMode="External"/><Relationship Id="rId57" Type="http://schemas.openxmlformats.org/officeDocument/2006/relationships/hyperlink" Target="https://www.linkedin.com/learning/organizational-thought-leadership?trk=ondemandfile" TargetMode="External"/><Relationship Id="rId56" Type="http://schemas.openxmlformats.org/officeDocument/2006/relationships/hyperlink" Target="https://www.linkedin.com/learning/coaching-new-managers?trk=ondemandfile" TargetMode="External"/><Relationship Id="rId59" Type="http://schemas.openxmlformats.org/officeDocument/2006/relationships/hyperlink" Target="https://www.linkedin.com/learning/goal-setting-objectives-and-key-results-okrs?trk=ondemandfile" TargetMode="External"/><Relationship Id="rId58" Type="http://schemas.openxmlformats.org/officeDocument/2006/relationships/hyperlink" Target="https://www.linkedin.com/learning/build-your-team?trk=ondemandfile" TargetMode="External"/><Relationship Id="rId95" Type="http://schemas.openxmlformats.org/officeDocument/2006/relationships/hyperlink" Target="https://www.linkedin.com/learning/everything-as-a-service-xaas-is-the-future-of-business?trk=ondemandfile" TargetMode="External"/><Relationship Id="rId94" Type="http://schemas.openxmlformats.org/officeDocument/2006/relationships/hyperlink" Target="https://www.linkedin.com/learning/make-the-move-from-individual-contributor-to-manager?trk=ondemandfile" TargetMode="External"/><Relationship Id="rId97" Type="http://schemas.openxmlformats.org/officeDocument/2006/relationships/hyperlink" Target="https://www.linkedin.com/learning/mulitpliers?trk=ondemandfile" TargetMode="External"/><Relationship Id="rId96" Type="http://schemas.openxmlformats.org/officeDocument/2006/relationships/hyperlink" Target="https://www.linkedin.com/learning/become-a-better-coach-for-your-team?trk=ondemandfile" TargetMode="External"/><Relationship Id="rId99" Type="http://schemas.openxmlformats.org/officeDocument/2006/relationships/hyperlink" Target="https://www.linkedin.com/learning/retail-sales-management?trk=ondemandfile" TargetMode="External"/><Relationship Id="rId98" Type="http://schemas.openxmlformats.org/officeDocument/2006/relationships/hyperlink" Target="https://www.linkedin.com/learning/using-neuroscience-for-more-effective-l-d?trk=ondemandfile" TargetMode="External"/><Relationship Id="rId91" Type="http://schemas.openxmlformats.org/officeDocument/2006/relationships/hyperlink" Target="https://www.linkedin.com/learning/how-to-be-more-strategic-in-six-steps?trk=contentmappingfile" TargetMode="External"/><Relationship Id="rId90" Type="http://schemas.openxmlformats.org/officeDocument/2006/relationships/hyperlink" Target="https://www.linkedin.com/learning/connecting-to-executives-2018?trk=ondemandfile" TargetMode="External"/><Relationship Id="rId93" Type="http://schemas.openxmlformats.org/officeDocument/2006/relationships/hyperlink" Target="https://www.linkedin.com/learning/business-law-for-managers?trk=ondemandfile" TargetMode="External"/><Relationship Id="rId92" Type="http://schemas.openxmlformats.org/officeDocument/2006/relationships/hyperlink" Target="https://www.linkedin.com/learning/building-and-fostering-a-great-sales-culture?trk=ondemandfile" TargetMode="External"/><Relationship Id="rId150" Type="http://schemas.openxmlformats.org/officeDocument/2006/relationships/hyperlink" Target="https://www.linkedin.com/learning/following-the-digital-thread?trk=ondemandfile" TargetMode="External"/><Relationship Id="rId149" Type="http://schemas.openxmlformats.org/officeDocument/2006/relationships/hyperlink" Target="https://www.linkedin.com/learning/technology-and-design-ethics?trk=ondemandfile" TargetMode="External"/><Relationship Id="rId148" Type="http://schemas.openxmlformats.org/officeDocument/2006/relationships/hyperlink" Target="https://www.linkedin.com/learning/thinking-in-new-boxes-a-new-paradigm-for-business-creativity?trk=ondemandfile" TargetMode="External"/><Relationship Id="rId143" Type="http://schemas.openxmlformats.org/officeDocument/2006/relationships/hyperlink" Target="https://www.linkedin.com/learning/business-analysis-for-busy-professionals?trk=ondemandfile" TargetMode="External"/><Relationship Id="rId142" Type="http://schemas.openxmlformats.org/officeDocument/2006/relationships/hyperlink" Target="https://www.linkedin.com/learning/developing-business-partnerships?trk=ondemandfile" TargetMode="External"/><Relationship Id="rId141" Type="http://schemas.openxmlformats.org/officeDocument/2006/relationships/hyperlink" Target="https://www.linkedin.com/learning/business-analysis-essential-tools-and-techniques?trk=ondemandfile" TargetMode="External"/><Relationship Id="rId140" Type="http://schemas.openxmlformats.org/officeDocument/2006/relationships/hyperlink" Target="https://www.linkedin.com/learning/building-a-coaching-culture-improving-performance-through-timely-feedback?trk=ondemandfile" TargetMode="External"/><Relationship Id="rId147" Type="http://schemas.openxmlformats.org/officeDocument/2006/relationships/hyperlink" Target="https://www.linkedin.com/learning/how-to-make-strategic-thinking-a-habit?trk=ondemandfile" TargetMode="External"/><Relationship Id="rId146" Type="http://schemas.openxmlformats.org/officeDocument/2006/relationships/hyperlink" Target="https://www.linkedin.com/learning/design-of-podcast-emily-cohen-consultant-speaker-brutally-honest?trk=ondemandfile" TargetMode="External"/><Relationship Id="rId145" Type="http://schemas.openxmlformats.org/officeDocument/2006/relationships/hyperlink" Target="https://www.linkedin.com/learning/the-new-age-of-risk-management-strategy-for-business?trk=ondemandfile" TargetMode="External"/><Relationship Id="rId144" Type="http://schemas.openxmlformats.org/officeDocument/2006/relationships/hyperlink" Target="https://www.linkedin.com/learning/conducting-a-swot-analysis?trk=ondemandfile" TargetMode="External"/><Relationship Id="rId139" Type="http://schemas.openxmlformats.org/officeDocument/2006/relationships/hyperlink" Target="https://www.linkedin.com/learning/45-minute-business-plan?trk=ondemandfile" TargetMode="External"/><Relationship Id="rId138" Type="http://schemas.openxmlformats.org/officeDocument/2006/relationships/hyperlink" Target="https://www.linkedin.com/learning/enhancing-team-innovation?trk=ondemandfile" TargetMode="External"/><Relationship Id="rId137" Type="http://schemas.openxmlformats.org/officeDocument/2006/relationships/hyperlink" Target="https://www.linkedin.com/learning/introduction-to-abusive-ai?trk=ondemandfile" TargetMode="External"/><Relationship Id="rId132" Type="http://schemas.openxmlformats.org/officeDocument/2006/relationships/hyperlink" Target="https://www.linkedin.com/learning/how-to-succeed-in-a-case-study-interview?trk=ondemandfile" TargetMode="External"/><Relationship Id="rId131" Type="http://schemas.openxmlformats.org/officeDocument/2006/relationships/hyperlink" Target="https://www.linkedin.com/learning/business-analysis-foundations-strategy-analysis?trk=ondemandfile" TargetMode="External"/><Relationship Id="rId130" Type="http://schemas.openxmlformats.org/officeDocument/2006/relationships/hyperlink" Target="https://www.linkedin.com/learning/all-you-have-to-do-is-ask-how-to-ask-for-help-when-you-need-it?trk=ondemandfile" TargetMode="External"/><Relationship Id="rId136" Type="http://schemas.openxmlformats.org/officeDocument/2006/relationships/hyperlink" Target="https://www.linkedin.com/learning/getting-executive-buy-in-and-support-for-your-l-d-program?trk=ondemandfile" TargetMode="External"/><Relationship Id="rId135" Type="http://schemas.openxmlformats.org/officeDocument/2006/relationships/hyperlink" Target="https://www.linkedin.com/learning/international-business-foundations?trk=ondemandfile" TargetMode="External"/><Relationship Id="rId134" Type="http://schemas.openxmlformats.org/officeDocument/2006/relationships/hyperlink" Target="https://www.linkedin.com/learning/habits-for-success?trk=ondemandfile" TargetMode="External"/><Relationship Id="rId133" Type="http://schemas.openxmlformats.org/officeDocument/2006/relationships/hyperlink" Target="https://www.linkedin.com/learning/strategic-pricing-for-products-and-services?trk=ondemandfile" TargetMode="External"/><Relationship Id="rId162" Type="http://schemas.openxmlformats.org/officeDocument/2006/relationships/drawing" Target="../drawings/drawing16.xml"/><Relationship Id="rId161" Type="http://schemas.openxmlformats.org/officeDocument/2006/relationships/hyperlink" Target="https://www.linkedin.com/learning/cybersecurity-foundations-2?trk=ondemandfile" TargetMode="External"/><Relationship Id="rId160" Type="http://schemas.openxmlformats.org/officeDocument/2006/relationships/hyperlink" Target="https://www.linkedin.com/learning/azure-for-architects-design-a-business-continuity-strategy-2?trk=ondemandfile" TargetMode="External"/><Relationship Id="rId159" Type="http://schemas.openxmlformats.org/officeDocument/2006/relationships/hyperlink" Target="https://www.linkedin.com/learning/ethical-hacking-cryptography?trk=ondemandfile" TargetMode="External"/><Relationship Id="rId154" Type="http://schemas.openxmlformats.org/officeDocument/2006/relationships/hyperlink" Target="https://www.linkedin.com/learning/corporate-finance-strategies-for-business-leaders?trk=ondemandfile" TargetMode="External"/><Relationship Id="rId153" Type="http://schemas.openxmlformats.org/officeDocument/2006/relationships/hyperlink" Target="https://www.linkedin.com/learning/content-marketing-roi?trk=ondemandfile" TargetMode="External"/><Relationship Id="rId152" Type="http://schemas.openxmlformats.org/officeDocument/2006/relationships/hyperlink" Target="https://www.linkedin.com/learning/outsourcing-management?trk=ondemandfile" TargetMode="External"/><Relationship Id="rId151" Type="http://schemas.openxmlformats.org/officeDocument/2006/relationships/hyperlink" Target="https://www.linkedin.com/learning/outsourcing-critical-success-factors?trk=ondemandfile" TargetMode="External"/><Relationship Id="rId158" Type="http://schemas.openxmlformats.org/officeDocument/2006/relationships/hyperlink" Target="https://www.linkedin.com/learning/azure-for-architects-design-a-migration-strategy?trk=ondemandfile" TargetMode="External"/><Relationship Id="rId157" Type="http://schemas.openxmlformats.org/officeDocument/2006/relationships/hyperlink" Target="https://www.linkedin.com/learning/communicating-an-enterprise-wide-transformation?trk=ondemandfile" TargetMode="External"/><Relationship Id="rId156" Type="http://schemas.openxmlformats.org/officeDocument/2006/relationships/hyperlink" Target="https://www.linkedin.com/learning/strategic-human-resources?trk=ondemandfile" TargetMode="External"/><Relationship Id="rId155" Type="http://schemas.openxmlformats.org/officeDocument/2006/relationships/hyperlink" Target="https://www.linkedin.com/learning/create-a-go-to-market-plan-2?trk=ondemandfile" TargetMode="External"/><Relationship Id="rId107" Type="http://schemas.openxmlformats.org/officeDocument/2006/relationships/hyperlink" Target="https://www.linkedin.com/learning/how-to-become-a-thought-leader-and-advance-your-career?trk=ondemandfile" TargetMode="External"/><Relationship Id="rId106" Type="http://schemas.openxmlformats.org/officeDocument/2006/relationships/hyperlink" Target="https://www.linkedin.com/learning/women-transforming-tech-finding-a-mentor?trk=ondemandfile" TargetMode="External"/><Relationship Id="rId105" Type="http://schemas.openxmlformats.org/officeDocument/2006/relationships/hyperlink" Target="https://www.linkedin.com/learning/the-secret-what-great-leaders-know-and-do-getabstract-summary?trk=ondemandfile" TargetMode="External"/><Relationship Id="rId104" Type="http://schemas.openxmlformats.org/officeDocument/2006/relationships/hyperlink" Target="https://www.linkedin.com/learning/foundations-of-corporate-training?trk=ondemandfile" TargetMode="External"/><Relationship Id="rId109" Type="http://schemas.openxmlformats.org/officeDocument/2006/relationships/hyperlink" Target="https://www.linkedin.com/learning/business-development-strategic-planning?trk=ondemandfile" TargetMode="External"/><Relationship Id="rId108" Type="http://schemas.openxmlformats.org/officeDocument/2006/relationships/hyperlink" Target="https://www.linkedin.com/learning/women-transforming-tech-breaking-in-and-staying-in-the-industry?trk=ondemandfile" TargetMode="External"/><Relationship Id="rId103" Type="http://schemas.openxmlformats.org/officeDocument/2006/relationships/hyperlink" Target="https://www.linkedin.com/learning/change-management-tips-for-leaders?trk=ondemandfile" TargetMode="External"/><Relationship Id="rId102" Type="http://schemas.openxmlformats.org/officeDocument/2006/relationships/hyperlink" Target="https://www.linkedin.com/learning/women-transforming-tech-tips-for-career-success?trk=ondemandfile" TargetMode="External"/><Relationship Id="rId101" Type="http://schemas.openxmlformats.org/officeDocument/2006/relationships/hyperlink" Target="https://www.linkedin.com/learning/developing-executive-presence?trk=ondemandfile" TargetMode="External"/><Relationship Id="rId100" Type="http://schemas.openxmlformats.org/officeDocument/2006/relationships/hyperlink" Target="https://www.linkedin.com/learning/using-assessments-to-hire-customer-service-reps?trk=ondemandfile" TargetMode="External"/><Relationship Id="rId129" Type="http://schemas.openxmlformats.org/officeDocument/2006/relationships/hyperlink" Target="https://www.linkedin.com/learning/business-innovation-foundations-2020?trk=ondemandfile" TargetMode="External"/><Relationship Id="rId128" Type="http://schemas.openxmlformats.org/officeDocument/2006/relationships/hyperlink" Target="https://www.linkedin.com/learning/executive-coaching?trk=ondemandfile" TargetMode="External"/><Relationship Id="rId127" Type="http://schemas.openxmlformats.org/officeDocument/2006/relationships/hyperlink" Target="https://www.linkedin.com/learning/supply-chain-analytics-foundations?trk=ondemandfile" TargetMode="External"/><Relationship Id="rId126" Type="http://schemas.openxmlformats.org/officeDocument/2006/relationships/hyperlink" Target="https://www.linkedin.com/learning/boosting-your-team-s-productivity?trk=ondemandfile" TargetMode="External"/><Relationship Id="rId121" Type="http://schemas.openxmlformats.org/officeDocument/2006/relationships/hyperlink" Target="https://www.linkedin.com/learning/outsourcing-managing-service-transition?trk=ondemandfile" TargetMode="External"/><Relationship Id="rId120" Type="http://schemas.openxmlformats.org/officeDocument/2006/relationships/hyperlink" Target="https://www.linkedin.com/learning/increase-visibility-to-advance-your-career?trk=ondemandfile" TargetMode="External"/><Relationship Id="rId125" Type="http://schemas.openxmlformats.org/officeDocument/2006/relationships/hyperlink" Target="https://www.linkedin.com/learning/business-lessons-from-a-chess-champion?trk=ondemandfile" TargetMode="External"/><Relationship Id="rId124" Type="http://schemas.openxmlformats.org/officeDocument/2006/relationships/hyperlink" Target="https://www.linkedin.com/learning/how-to-be-a-good-mentee?trk=ondemandfile" TargetMode="External"/><Relationship Id="rId123" Type="http://schemas.openxmlformats.org/officeDocument/2006/relationships/hyperlink" Target="https://www.linkedin.com/learning/change-management-tips-for-individuals?trk=ondemandfile" TargetMode="External"/><Relationship Id="rId122" Type="http://schemas.openxmlformats.org/officeDocument/2006/relationships/hyperlink" Target="https://www.linkedin.com/learning/giving-and-receiving-feedback?trk=ondemandfile" TargetMode="External"/><Relationship Id="rId118" Type="http://schemas.openxmlformats.org/officeDocument/2006/relationships/hyperlink" Target="https://www.linkedin.com/learning/recognizing-and-rewarding-your-workers?trk=ondemandfile" TargetMode="External"/><Relationship Id="rId117" Type="http://schemas.openxmlformats.org/officeDocument/2006/relationships/hyperlink" Target="https://www.linkedin.com/learning/creating-a-unique-competitive-advantage?trk=ondemandfile" TargetMode="External"/><Relationship Id="rId116" Type="http://schemas.openxmlformats.org/officeDocument/2006/relationships/hyperlink" Target="https://www.linkedin.com/learning/the-secrets-to-success-at-work?trk=ondemandfile" TargetMode="External"/><Relationship Id="rId115" Type="http://schemas.openxmlformats.org/officeDocument/2006/relationships/hyperlink" Target="https://www.linkedin.com/learning/defining-and-segmenting-competition?trk=ondemandfile" TargetMode="External"/><Relationship Id="rId119" Type="http://schemas.openxmlformats.org/officeDocument/2006/relationships/hyperlink" Target="https://www.linkedin.com/learning/introduction-to-business-analytics?trk=ondemandfile" TargetMode="External"/><Relationship Id="rId110" Type="http://schemas.openxmlformats.org/officeDocument/2006/relationships/hyperlink" Target="https://www.linkedin.com/learning/effective-sponsorship-across-difference-for-proteges?trk=contentmappingfile" TargetMode="External"/><Relationship Id="rId114" Type="http://schemas.openxmlformats.org/officeDocument/2006/relationships/hyperlink" Target="https://www.linkedin.com/learning/basketball-legend-bill-walton-thirty-minute-mentors?trk=ondemandfile" TargetMode="External"/><Relationship Id="rId113" Type="http://schemas.openxmlformats.org/officeDocument/2006/relationships/hyperlink" Target="https://www.linkedin.com/learning/strategic-thinking?trk=ondemandfile" TargetMode="External"/><Relationship Id="rId112" Type="http://schemas.openxmlformats.org/officeDocument/2006/relationships/hyperlink" Target="https://www.linkedin.com/learning/becoming-an-inspiring-mentor?trk=ondemandfile" TargetMode="External"/><Relationship Id="rId111" Type="http://schemas.openxmlformats.org/officeDocument/2006/relationships/hyperlink" Target="https://www.linkedin.com/learning/adaptive-leadership-for-vuca-challenges?trk=ondemandfile"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linkedin.com/learning/jeff-weiner-on-establishing-a-culture-and-a-plan-for-scaling?trk=ondemandfile" TargetMode="External"/><Relationship Id="rId2" Type="http://schemas.openxmlformats.org/officeDocument/2006/relationships/hyperlink" Target="https://www.linkedin.com/learning/paths/advance-your-skills-as-a-manager?trk=ondemandfile" TargetMode="External"/><Relationship Id="rId3" Type="http://schemas.openxmlformats.org/officeDocument/2006/relationships/hyperlink" Target="https://www.linkedin.com/learning/global-strategy?trk=ondemandfile" TargetMode="External"/><Relationship Id="rId4" Type="http://schemas.openxmlformats.org/officeDocument/2006/relationships/hyperlink" Target="https://www.linkedin.com/learning/paths/become-an-inclusive-leader?trk=ondemandfile" TargetMode="External"/><Relationship Id="rId9" Type="http://schemas.openxmlformats.org/officeDocument/2006/relationships/hyperlink" Target="https://www.linkedin.com/learning/getting-your-talent-to-bring-their-best-ideas-to-work?trk=ondemandfile" TargetMode="External"/><Relationship Id="rId5" Type="http://schemas.openxmlformats.org/officeDocument/2006/relationships/hyperlink" Target="https://www.linkedin.com/learning/creating-a-positive-and-healthy-work-environment?trk=ondemandfile" TargetMode="External"/><Relationship Id="rId6" Type="http://schemas.openxmlformats.org/officeDocument/2006/relationships/hyperlink" Target="https://www.linkedin.com/learning/paths/become-an-inclusive-leader?trk=ondemandfile" TargetMode="External"/><Relationship Id="rId7" Type="http://schemas.openxmlformats.org/officeDocument/2006/relationships/hyperlink" Target="https://www.linkedin.com/learning/leading-globally?trk=ondemandfile" TargetMode="External"/><Relationship Id="rId8" Type="http://schemas.openxmlformats.org/officeDocument/2006/relationships/hyperlink" Target="https://www.linkedin.com/learning/paths/become-a-thought-leader?trk=ondemandfile" TargetMode="External"/><Relationship Id="rId40" Type="http://schemas.openxmlformats.org/officeDocument/2006/relationships/hyperlink" Target="https://www.linkedin.com/learning/paths/women-in-leadership-3?trk=ondemandfile" TargetMode="External"/><Relationship Id="rId42" Type="http://schemas.openxmlformats.org/officeDocument/2006/relationships/hyperlink" Target="https://www.linkedin.com/learning/leading-your-org-on-a-journey-of-allyship?trk=ondemandfile" TargetMode="External"/><Relationship Id="rId41" Type="http://schemas.openxmlformats.org/officeDocument/2006/relationships/hyperlink" Target="https://www.linkedin.com/learning/managers-as-multipliers-of-well-being?trk=ondemandfile" TargetMode="External"/><Relationship Id="rId44" Type="http://schemas.openxmlformats.org/officeDocument/2006/relationships/hyperlink" Target="https://www.linkedin.com/learning/achieving-diversity-as-a-hiring-manager?trk=ondemandfile" TargetMode="External"/><Relationship Id="rId43" Type="http://schemas.openxmlformats.org/officeDocument/2006/relationships/hyperlink" Target="https://www.linkedin.com/learning/paths/women-transforming-tech-navigating-your-career?trk=ondemandfile" TargetMode="External"/><Relationship Id="rId46" Type="http://schemas.openxmlformats.org/officeDocument/2006/relationships/hyperlink" Target="https://www.linkedin.com/learning/performance-management-conducting-performance-reviews?trk=ondemandfile" TargetMode="External"/><Relationship Id="rId45" Type="http://schemas.openxmlformats.org/officeDocument/2006/relationships/hyperlink" Target="https://www.linkedin.com/learning/managing-someone-older-than-you?trk=ondemandfile" TargetMode="External"/><Relationship Id="rId48" Type="http://schemas.openxmlformats.org/officeDocument/2006/relationships/hyperlink" Target="https://www.linkedin.com/learning/performance-management-setting-goals-and-managing-performance?trk=ondemandfile" TargetMode="External"/><Relationship Id="rId47" Type="http://schemas.openxmlformats.org/officeDocument/2006/relationships/hyperlink" Target="https://www.linkedin.com/learning/supporting-workers-with-disabilities?trk=ondemandfile" TargetMode="External"/><Relationship Id="rId49" Type="http://schemas.openxmlformats.org/officeDocument/2006/relationships/hyperlink" Target="https://www.linkedin.com/learning/inclusive-tech-the-case-for-inclusive-leadership?trk=ondemandfile" TargetMode="External"/><Relationship Id="rId31" Type="http://schemas.openxmlformats.org/officeDocument/2006/relationships/hyperlink" Target="https://www.linkedin.com/learning/paths/stay-ahead-in-all-things-dibs?trk=ondemandfile" TargetMode="External"/><Relationship Id="rId30" Type="http://schemas.openxmlformats.org/officeDocument/2006/relationships/hyperlink" Target="https://www.linkedin.com/learning/collaborative-leadership?trk=ondemandfile" TargetMode="External"/><Relationship Id="rId33" Type="http://schemas.openxmlformats.org/officeDocument/2006/relationships/hyperlink" Target="https://www.linkedin.com/learning/developing-a-diversity-inclusion-and-belonging-program?trk=ondemandfile" TargetMode="External"/><Relationship Id="rId32" Type="http://schemas.openxmlformats.org/officeDocument/2006/relationships/hyperlink" Target="https://www.linkedin.com/learning/people-success-employee-assessments?trk=ondemandfile" TargetMode="External"/><Relationship Id="rId35" Type="http://schemas.openxmlformats.org/officeDocument/2006/relationships/hyperlink" Target="https://www.linkedin.com/learning/how-to-set-team-and-employee-goals?trk=ondemandfile" TargetMode="External"/><Relationship Id="rId34" Type="http://schemas.openxmlformats.org/officeDocument/2006/relationships/hyperlink" Target="https://www.linkedin.com/learning/paths/transition-from-military-to-civilian-employment?trk=ondemandfile" TargetMode="External"/><Relationship Id="rId37" Type="http://schemas.openxmlformats.org/officeDocument/2006/relationships/hyperlink" Target="https://www.linkedin.com/learning/paths/transition-from-military-to-student-life?trk=ondemandfile?" TargetMode="External"/><Relationship Id="rId36" Type="http://schemas.openxmlformats.org/officeDocument/2006/relationships/hyperlink" Target="https://www.linkedin.com/learning/accessibility-for-the-workplace?trk=ondemandfile" TargetMode="External"/><Relationship Id="rId39" Type="http://schemas.openxmlformats.org/officeDocument/2006/relationships/hyperlink" Target="https://www.linkedin.com/learning/be-an-inclusive-organization-people-won-t-leave?trk=ondemandfile" TargetMode="External"/><Relationship Id="rId38" Type="http://schemas.openxmlformats.org/officeDocument/2006/relationships/hyperlink" Target="https://www.linkedin.com/learning/virtual-performance-reviews-and-feedback?trk=ondemandfile" TargetMode="External"/><Relationship Id="rId20" Type="http://schemas.openxmlformats.org/officeDocument/2006/relationships/hyperlink" Target="https://www.linkedin.com/learning/paths/diversity-inclusion-and-belonging-for-leaders-and-managers?trk=ondemandfile" TargetMode="External"/><Relationship Id="rId22" Type="http://schemas.openxmlformats.org/officeDocument/2006/relationships/hyperlink" Target="https://www.linkedin.com/learning/paths/managing-performance?trk=ondemandfile" TargetMode="External"/><Relationship Id="rId21" Type="http://schemas.openxmlformats.org/officeDocument/2006/relationships/hyperlink" Target="https://www.linkedin.com/learning/employee-experience?trk=ondemandfile" TargetMode="External"/><Relationship Id="rId24" Type="http://schemas.openxmlformats.org/officeDocument/2006/relationships/hyperlink" Target="https://www.linkedin.com/learning/paths/how-to-engage-meaningfully-in-allyship-and-anti-racism?trk=ondemandfile" TargetMode="External"/><Relationship Id="rId23" Type="http://schemas.openxmlformats.org/officeDocument/2006/relationships/hyperlink" Target="https://www.linkedin.com/learning/communicating-values?trk=ondemandfile" TargetMode="External"/><Relationship Id="rId26" Type="http://schemas.openxmlformats.org/officeDocument/2006/relationships/hyperlink" Target="https://www.linkedin.com/learning/paths/recruit-and-maximize-talent?trk=ondemandfile" TargetMode="External"/><Relationship Id="rId25" Type="http://schemas.openxmlformats.org/officeDocument/2006/relationships/hyperlink" Target="https://www.linkedin.com/learning/hr-and-digital-transformation?trk=ondemandfile" TargetMode="External"/><Relationship Id="rId28" Type="http://schemas.openxmlformats.org/officeDocument/2006/relationships/hyperlink" Target="https://www.linkedin.com/learning/paths/improve-your-coaching-skills-as-a-manager?trk=ondemandfile" TargetMode="External"/><Relationship Id="rId27" Type="http://schemas.openxmlformats.org/officeDocument/2006/relationships/hyperlink" Target="https://www.linkedin.com/learning/managing-multiple-generations-2?trk=ondemandfile" TargetMode="External"/><Relationship Id="rId29" Type="http://schemas.openxmlformats.org/officeDocument/2006/relationships/hyperlink" Target="https://www.linkedin.com/learning/finding-and-retaining-high-potentials-9018297?trk=ondemandfile" TargetMode="External"/><Relationship Id="rId11" Type="http://schemas.openxmlformats.org/officeDocument/2006/relationships/hyperlink" Target="https://www.linkedin.com/learning/managing-globally?trk=ondemandfile" TargetMode="External"/><Relationship Id="rId10" Type="http://schemas.openxmlformats.org/officeDocument/2006/relationships/hyperlink" Target="https://www.linkedin.com/learning/paths/become-a-senior-manager?trk=ondemandfile" TargetMode="External"/><Relationship Id="rId13" Type="http://schemas.openxmlformats.org/officeDocument/2006/relationships/hyperlink" Target="https://www.linkedin.com/learning/talent-management?trk=ondemandfile" TargetMode="External"/><Relationship Id="rId12" Type="http://schemas.openxmlformats.org/officeDocument/2006/relationships/hyperlink" Target="https://www.linkedin.com/learning/paths/build-a-more-equitable-and-inclusive-workplace?trk=ondemandfile" TargetMode="External"/><Relationship Id="rId15" Type="http://schemas.openxmlformats.org/officeDocument/2006/relationships/hyperlink" Target="https://www.linkedin.com/learning/inclusive-leadership?trk=ondemandfile" TargetMode="External"/><Relationship Id="rId14" Type="http://schemas.openxmlformats.org/officeDocument/2006/relationships/hyperlink" Target="https://www.linkedin.com/learning/paths/finding-and-retaining-talent?trk=ondemandfile" TargetMode="External"/><Relationship Id="rId17" Type="http://schemas.openxmlformats.org/officeDocument/2006/relationships/hyperlink" Target="https://www.linkedin.com/learning/rewarding-employee-performance?trk=ondemandfile" TargetMode="External"/><Relationship Id="rId16" Type="http://schemas.openxmlformats.org/officeDocument/2006/relationships/hyperlink" Target="https://www.linkedin.com/learning/paths/diversity-inclusion-and-belonging-for-all?trk=ondemandfile" TargetMode="External"/><Relationship Id="rId19" Type="http://schemas.openxmlformats.org/officeDocument/2006/relationships/hyperlink" Target="https://www.linkedin.com/learning/how-to-be-an-inclusive-leader-getabstract-summary?trk=ondemandfile" TargetMode="External"/><Relationship Id="rId18" Type="http://schemas.openxmlformats.org/officeDocument/2006/relationships/hyperlink" Target="https://www.linkedin.com/learning/paths/improve-your-coaching-skills-as-a-manager?trk=ondemandfile" TargetMode="External"/><Relationship Id="rId84" Type="http://schemas.openxmlformats.org/officeDocument/2006/relationships/hyperlink" Target="https://www.linkedin.com/learning/building-a-coaching-culture-improving-performance-through-timely-feedback?trk=ondemandfile" TargetMode="External"/><Relationship Id="rId83" Type="http://schemas.openxmlformats.org/officeDocument/2006/relationships/hyperlink" Target="https://www.linkedin.com/learning/a-guide-to-ergs-employee-resource-groups?trk=ondemandfile" TargetMode="External"/><Relationship Id="rId86" Type="http://schemas.openxmlformats.org/officeDocument/2006/relationships/hyperlink" Target="https://www.linkedin.com/learning/driving-workplace-happiness?trk=ondemandfile" TargetMode="External"/><Relationship Id="rId85" Type="http://schemas.openxmlformats.org/officeDocument/2006/relationships/hyperlink" Target="https://www.linkedin.com/learning/diversity-and-inclusion-in-a-global-enterprise?trk=ondemandfile" TargetMode="External"/><Relationship Id="rId88" Type="http://schemas.openxmlformats.org/officeDocument/2006/relationships/hyperlink" Target="https://www.linkedin.com/learning/interviewing-t-echniques-2019?trk=ondemandfile" TargetMode="External"/><Relationship Id="rId87" Type="http://schemas.openxmlformats.org/officeDocument/2006/relationships/hyperlink" Target="https://www.linkedin.com/learning/leveraging-neuroscience-for-business-impact?trk=ondemandfile" TargetMode="External"/><Relationship Id="rId89" Type="http://schemas.openxmlformats.org/officeDocument/2006/relationships/hyperlink" Target="https://www.linkedin.com/learning/creating-a-great-place-to-work-for-all?trk=ondemandfile" TargetMode="External"/><Relationship Id="rId80" Type="http://schemas.openxmlformats.org/officeDocument/2006/relationships/hyperlink" Target="https://www.linkedin.com/learning/boosting-your-team-s-productivity?trk=ondemandfile" TargetMode="External"/><Relationship Id="rId82" Type="http://schemas.openxmlformats.org/officeDocument/2006/relationships/hyperlink" Target="https://www.linkedin.com/learning/the-upskilling-imperative-blinkist-summary?trk=ondemandfile" TargetMode="External"/><Relationship Id="rId81" Type="http://schemas.openxmlformats.org/officeDocument/2006/relationships/hyperlink" Target="https://www.linkedin.com/learning/how-to-foster-antiracist-workplaces-a-practical-guide-for-all-employees?trk=ondemandfile" TargetMode="External"/><Relationship Id="rId73" Type="http://schemas.openxmlformats.org/officeDocument/2006/relationships/hyperlink" Target="https://www.linkedin.com/learning/empowering-bipoc-through-mentorship?trk=ondemandfile" TargetMode="External"/><Relationship Id="rId72" Type="http://schemas.openxmlformats.org/officeDocument/2006/relationships/hyperlink" Target="https://www.linkedin.com/learning/hr-recruiting-communication-strategies-to-attract-and-retain-top-talent?trk=ondemandfile" TargetMode="External"/><Relationship Id="rId75" Type="http://schemas.openxmlformats.org/officeDocument/2006/relationships/hyperlink" Target="https://www.linkedin.com/learning/inclusive-selling-selling-across-culture-race-and-gender-differences?trk=ondemandfile" TargetMode="External"/><Relationship Id="rId74" Type="http://schemas.openxmlformats.org/officeDocument/2006/relationships/hyperlink" Target="https://www.linkedin.com/learning/performance-management-improving-employee-performance?trk=ondemandfile" TargetMode="External"/><Relationship Id="rId77" Type="http://schemas.openxmlformats.org/officeDocument/2006/relationships/hyperlink" Target="https://www.linkedin.com/learning/creating-inclusive-learning-experiences?trk=ondemandfile" TargetMode="External"/><Relationship Id="rId76" Type="http://schemas.openxmlformats.org/officeDocument/2006/relationships/hyperlink" Target="https://www.linkedin.com/learning/foundations-of-performance-management?trk=ondemandfile" TargetMode="External"/><Relationship Id="rId79" Type="http://schemas.openxmlformats.org/officeDocument/2006/relationships/hyperlink" Target="https://www.linkedin.com/learning/how-to-speak-up-against-racism-at-work?trk=ondemandfile" TargetMode="External"/><Relationship Id="rId78" Type="http://schemas.openxmlformats.org/officeDocument/2006/relationships/hyperlink" Target="https://www.linkedin.com/learning/empathy-tips-for-hr-professionals?trk=ondemandfile" TargetMode="External"/><Relationship Id="rId71" Type="http://schemas.openxmlformats.org/officeDocument/2006/relationships/hyperlink" Target="https://www.linkedin.com/learning/driving-inclusion-with-empathy?trk=ondemandfile" TargetMode="External"/><Relationship Id="rId70" Type="http://schemas.openxmlformats.org/officeDocument/2006/relationships/hyperlink" Target="https://www.linkedin.com/learning/managing-employee-performance-problems-2018?trk=ondemandfile" TargetMode="External"/><Relationship Id="rId62" Type="http://schemas.openxmlformats.org/officeDocument/2006/relationships/hyperlink" Target="https://www.linkedin.com/learning/performance-management-employee-engagement?trk=ondemandfile" TargetMode="External"/><Relationship Id="rId61" Type="http://schemas.openxmlformats.org/officeDocument/2006/relationships/hyperlink" Target="https://www.linkedin.com/learning/leading-inclusive-teams?trk=ondemandfile" TargetMode="External"/><Relationship Id="rId64" Type="http://schemas.openxmlformats.org/officeDocument/2006/relationships/hyperlink" Target="https://www.linkedin.com/learning/managing-for-results-2020?trk=ondemandfile" TargetMode="External"/><Relationship Id="rId63" Type="http://schemas.openxmlformats.org/officeDocument/2006/relationships/hyperlink" Target="https://www.linkedin.com/learning/managing-a-diverse-team?trk=ondemandfile" TargetMode="External"/><Relationship Id="rId66" Type="http://schemas.openxmlformats.org/officeDocument/2006/relationships/hyperlink" Target="https://www.linkedin.com/learning/coaching-employees-through-difficult-situations?trk=ondemandfile" TargetMode="External"/><Relationship Id="rId65" Type="http://schemas.openxmlformats.org/officeDocument/2006/relationships/hyperlink" Target="https://www.linkedin.com/learning/igniting-emotional-engagement?trk=ondemandfile" TargetMode="External"/><Relationship Id="rId68" Type="http://schemas.openxmlformats.org/officeDocument/2006/relationships/hyperlink" Target="https://www.linkedin.com/learning/coaching-for-results?trk=ondemandfile" TargetMode="External"/><Relationship Id="rId67" Type="http://schemas.openxmlformats.org/officeDocument/2006/relationships/hyperlink" Target="https://www.linkedin.com/learning/hiring-and-supporting-neurodiversity-in-the-workplace?trk=ondemandfile" TargetMode="External"/><Relationship Id="rId60" Type="http://schemas.openxmlformats.org/officeDocument/2006/relationships/hyperlink" Target="https://www.linkedin.com/learning/using-feedback-to-drive-performance?trk=ondemandfile" TargetMode="External"/><Relationship Id="rId69" Type="http://schemas.openxmlformats.org/officeDocument/2006/relationships/hyperlink" Target="https://www.linkedin.com/learning/a-manager-s-guide-to-inclusive-teams?trk=ondemandfile" TargetMode="External"/><Relationship Id="rId51" Type="http://schemas.openxmlformats.org/officeDocument/2006/relationships/hyperlink" Target="https://www.linkedin.com/learning/understanding-and-supporting-adhd-colleagues-in-the-workplace?trk=ondemandfile" TargetMode="External"/><Relationship Id="rId50" Type="http://schemas.openxmlformats.org/officeDocument/2006/relationships/hyperlink" Target="https://www.linkedin.com/learning/hiring-an-employee-for-managers?trk=ondemandfile" TargetMode="External"/><Relationship Id="rId53" Type="http://schemas.openxmlformats.org/officeDocument/2006/relationships/hyperlink" Target="https://www.linkedin.com/learning/achieving-diversity-as-a-hiring-manager?trk=ondemandfile" TargetMode="External"/><Relationship Id="rId52" Type="http://schemas.openxmlformats.org/officeDocument/2006/relationships/hyperlink" Target="https://www.linkedin.com/learning/coaching-and-developing-employees-2019?trk=ondemandfile" TargetMode="External"/><Relationship Id="rId55" Type="http://schemas.openxmlformats.org/officeDocument/2006/relationships/hyperlink" Target="https://www.linkedin.com/learning/new-manager-foundations-2?trk=ondemandfile" TargetMode="External"/><Relationship Id="rId54" Type="http://schemas.openxmlformats.org/officeDocument/2006/relationships/hyperlink" Target="https://www.linkedin.com/learning/managing-virtual-teams-2019?trk=ondemandfile" TargetMode="External"/><Relationship Id="rId57" Type="http://schemas.openxmlformats.org/officeDocument/2006/relationships/hyperlink" Target="https://www.linkedin.com/learning/business-law-for-managers?trk=ondemandfile" TargetMode="External"/><Relationship Id="rId56" Type="http://schemas.openxmlformats.org/officeDocument/2006/relationships/hyperlink" Target="https://www.linkedin.com/learning/motivating-and-engaging-employees-2?trk=ondemandfile" TargetMode="External"/><Relationship Id="rId59" Type="http://schemas.openxmlformats.org/officeDocument/2006/relationships/hyperlink" Target="https://www.linkedin.com/learning/managing-generation-z?trk=ondemandfile" TargetMode="External"/><Relationship Id="rId58" Type="http://schemas.openxmlformats.org/officeDocument/2006/relationships/hyperlink" Target="https://www.linkedin.com/learning/delegating-tasks?trk=ondemandfile" TargetMode="External"/><Relationship Id="rId95" Type="http://schemas.openxmlformats.org/officeDocument/2006/relationships/hyperlink" Target="https://www.linkedin.com/learning/teaching-civility-in-the-workplace?trk=ondemandfile" TargetMode="External"/><Relationship Id="rId94" Type="http://schemas.openxmlformats.org/officeDocument/2006/relationships/hyperlink" Target="https://www.linkedin.com/learning/rolling-out-a-dibs-training-program-in-your-company?trk=ondemandfile" TargetMode="External"/><Relationship Id="rId97" Type="http://schemas.openxmlformats.org/officeDocument/2006/relationships/hyperlink" Target="https://www.linkedin.com/learning/women-transforming-tech-breaking-bias-2?trk=ondemandfile" TargetMode="External"/><Relationship Id="rId96" Type="http://schemas.openxmlformats.org/officeDocument/2006/relationships/hyperlink" Target="https://www.linkedin.com/learning/women-transforming-tech-round-table-discussion?trk=ondemandfile" TargetMode="External"/><Relationship Id="rId99" Type="http://schemas.openxmlformats.org/officeDocument/2006/relationships/hyperlink" Target="https://www.linkedin.com/learning/marketing-to-diverse-audiences?trk=ondemandfile" TargetMode="External"/><Relationship Id="rId98" Type="http://schemas.openxmlformats.org/officeDocument/2006/relationships/hyperlink" Target="https://www.linkedin.com/learning/teaching-with-linkedin-learning?trk=ondemandfile" TargetMode="External"/><Relationship Id="rId91" Type="http://schemas.openxmlformats.org/officeDocument/2006/relationships/hyperlink" Target="https://www.linkedin.com/learning/out-and-proud-approaching-lgbt-issues-in-the-workplace?trk=ondemandfile" TargetMode="External"/><Relationship Id="rId90" Type="http://schemas.openxmlformats.org/officeDocument/2006/relationships/hyperlink" Target="https://www.linkedin.com/learning/predictive-analytics-essential-training-for-executives?trk=ondemandfile" TargetMode="External"/><Relationship Id="rId93" Type="http://schemas.openxmlformats.org/officeDocument/2006/relationships/hyperlink" Target="https://www.linkedin.com/learning/diversity-inclusion-and-belonging-2?trk=ondemandfile" TargetMode="External"/><Relationship Id="rId92" Type="http://schemas.openxmlformats.org/officeDocument/2006/relationships/hyperlink" Target="https://www.linkedin.com/learning/running-a-design-business-the-staffing-rule-book?trk=ondemandfile" TargetMode="External"/><Relationship Id="rId176" Type="http://schemas.openxmlformats.org/officeDocument/2006/relationships/drawing" Target="../drawings/drawing17.xml"/><Relationship Id="rId175" Type="http://schemas.openxmlformats.org/officeDocument/2006/relationships/hyperlink" Target="https://www.linkedin.com/learning/uncovering-unconscious-bias-in-recruiting-and-interviewing?trk=ondemandfile" TargetMode="External"/><Relationship Id="rId174" Type="http://schemas.openxmlformats.org/officeDocument/2006/relationships/hyperlink" Target="https://www.linkedin.com/learning/leadership-strategies-for-women?trk=ondemandfile" TargetMode="External"/><Relationship Id="rId173" Type="http://schemas.openxmlformats.org/officeDocument/2006/relationships/hyperlink" Target="https://www.linkedin.com/learning/fostering-belonging-as-a-leader?trk=ondemandfile" TargetMode="External"/><Relationship Id="rId150" Type="http://schemas.openxmlformats.org/officeDocument/2006/relationships/hyperlink" Target="https://www.linkedin.com/learning/awakening-compassion-at-work-blinkist-summary?trk=ondemandfile" TargetMode="External"/><Relationship Id="rId149" Type="http://schemas.openxmlformats.org/officeDocument/2006/relationships/hyperlink" Target="https://www.linkedin.com/learning/leadership-in-tech?trk=ondemandfile" TargetMode="External"/><Relationship Id="rId148" Type="http://schemas.openxmlformats.org/officeDocument/2006/relationships/hyperlink" Target="https://www.linkedin.com/learning/having-bold-and-inclusive-conversations?trk=ondemandfile" TargetMode="External"/><Relationship Id="rId143" Type="http://schemas.openxmlformats.org/officeDocument/2006/relationships/hyperlink" Target="https://www.linkedin.com/learning/developing-cross-cultural-intelligence?trk=ondemandfile" TargetMode="External"/><Relationship Id="rId142" Type="http://schemas.openxmlformats.org/officeDocument/2006/relationships/hyperlink" Target="https://www.linkedin.com/learning/creating-change-diversity-and-inclusion-in-the-tech-industry?trk=ondemandfile" TargetMode="External"/><Relationship Id="rId141" Type="http://schemas.openxmlformats.org/officeDocument/2006/relationships/hyperlink" Target="https://www.linkedin.com/learning/confronting-bias-thriving-across-our-differences?trk=ondemandfile" TargetMode="External"/><Relationship Id="rId140" Type="http://schemas.openxmlformats.org/officeDocument/2006/relationships/hyperlink" Target="https://www.linkedin.com/learning/communicating-across-cultures-2?trk=ondemandfile" TargetMode="External"/><Relationship Id="rId147" Type="http://schemas.openxmlformats.org/officeDocument/2006/relationships/hyperlink" Target="https://www.linkedin.com/learning/negotiating-power-and-preventing-harassment?trk=ondemandfile" TargetMode="External"/><Relationship Id="rId146" Type="http://schemas.openxmlformats.org/officeDocument/2006/relationships/hyperlink" Target="https://www.linkedin.com/learning/50-ways-to-fight-bias?trk=ondemandfile" TargetMode="External"/><Relationship Id="rId145" Type="http://schemas.openxmlformats.org/officeDocument/2006/relationships/hyperlink" Target="https://www.linkedin.com/learning/cultivating-cultural-competence-and-inclusion?trk=ondemandfile" TargetMode="External"/><Relationship Id="rId144" Type="http://schemas.openxmlformats.org/officeDocument/2006/relationships/hyperlink" Target="https://www.linkedin.com/learning/esl-for-business-social-interactions-for-multinational-teams?trk=ondemandfile" TargetMode="External"/><Relationship Id="rId139" Type="http://schemas.openxmlformats.org/officeDocument/2006/relationships/hyperlink" Target="https://www.linkedin.com/learning/understanding-and-supporting-asian-employees?trk=ondemandfile" TargetMode="External"/><Relationship Id="rId138" Type="http://schemas.openxmlformats.org/officeDocument/2006/relationships/hyperlink" Target="https://www.linkedin.com/learning/getting-a-seat-at-the-table-and-making-it-count?trk=ondemandfile" TargetMode="External"/><Relationship Id="rId137" Type="http://schemas.openxmlformats.org/officeDocument/2006/relationships/hyperlink" Target="https://www.linkedin.com/learning/understanding-and-supporting-lgbtq-plus-employees?trk=ondemandfile" TargetMode="External"/><Relationship Id="rId132" Type="http://schemas.openxmlformats.org/officeDocument/2006/relationships/hyperlink" Target="https://www.linkedin.com/learning/gender-in-negotiation?trk=ondemandfile" TargetMode="External"/><Relationship Id="rId131" Type="http://schemas.openxmlformats.org/officeDocument/2006/relationships/hyperlink" Target="https://www.linkedin.com/learning/strategies-to-foster-inclusive-language-at-work?trk=contentmappingfile" TargetMode="External"/><Relationship Id="rId130" Type="http://schemas.openxmlformats.org/officeDocument/2006/relationships/hyperlink" Target="https://www.linkedin.com/learning/creating-safe-spaces-for-tough-conversations-at-work?trk=contentmappingfile" TargetMode="External"/><Relationship Id="rId136" Type="http://schemas.openxmlformats.org/officeDocument/2006/relationships/hyperlink" Target="https://www.linkedin.com/learning/communicating-about-culturally-sensitive-issues?trk=ondemandfile" TargetMode="External"/><Relationship Id="rId135" Type="http://schemas.openxmlformats.org/officeDocument/2006/relationships/hyperlink" Target="https://www.linkedin.com/learning/preparing-to-lead-developing-mental-toughness-in-yourself?trk=ondemandfile" TargetMode="External"/><Relationship Id="rId134" Type="http://schemas.openxmlformats.org/officeDocument/2006/relationships/hyperlink" Target="https://www.linkedin.com/learning/how-to-be-a-good-mentee?trk=ondemandfile" TargetMode="External"/><Relationship Id="rId133" Type="http://schemas.openxmlformats.org/officeDocument/2006/relationships/hyperlink" Target="https://www.linkedin.com/learning/proven-success-strategies-for-women-at-work?trk=ondemandfile" TargetMode="External"/><Relationship Id="rId172" Type="http://schemas.openxmlformats.org/officeDocument/2006/relationships/hyperlink" Target="https://www.linkedin.com/learning/creating-a-connection-culture?trk=ondemandfile" TargetMode="External"/><Relationship Id="rId171" Type="http://schemas.openxmlformats.org/officeDocument/2006/relationships/hyperlink" Target="https://www.linkedin.com/learning/equity-first-the-path-to-inclusion-and-belonging?trk=ondemandfile" TargetMode="External"/><Relationship Id="rId170" Type="http://schemas.openxmlformats.org/officeDocument/2006/relationships/hyperlink" Target="https://www.linkedin.com/learning/empathy-at-work?trk=ondemandfile" TargetMode="External"/><Relationship Id="rId165" Type="http://schemas.openxmlformats.org/officeDocument/2006/relationships/hyperlink" Target="https://www.linkedin.com/learning/building-a-more-authentic-workplace?trk=ondemandfile" TargetMode="External"/><Relationship Id="rId164" Type="http://schemas.openxmlformats.org/officeDocument/2006/relationships/hyperlink" Target="https://www.linkedin.com/learning/architectural-design-the-we-way-for-workplace-inclusivity?trk=ondemandfile" TargetMode="External"/><Relationship Id="rId163" Type="http://schemas.openxmlformats.org/officeDocument/2006/relationships/hyperlink" Target="https://www.linkedin.com/learning/becoming-an-ally-to-all?trk=ondemandfile" TargetMode="External"/><Relationship Id="rId162" Type="http://schemas.openxmlformats.org/officeDocument/2006/relationships/hyperlink" Target="https://www.linkedin.com/learning/discussing-racism-with-dr-christina-greer?trk=ondemandfile" TargetMode="External"/><Relationship Id="rId169" Type="http://schemas.openxmlformats.org/officeDocument/2006/relationships/hyperlink" Target="https://www.linkedin.com/learning/success-strategies-for-women-in-the-workplace?trk=ondemandfile" TargetMode="External"/><Relationship Id="rId168" Type="http://schemas.openxmlformats.org/officeDocument/2006/relationships/hyperlink" Target="https://www.linkedin.com/learning/unlocking-authentic-communication-in-a-culturally-diverse-workplace?trk=ondemandfile" TargetMode="External"/><Relationship Id="rId167" Type="http://schemas.openxmlformats.org/officeDocument/2006/relationships/hyperlink" Target="https://www.linkedin.com/learning/communicating-across-cultures-virtually?trk=ondemandfile" TargetMode="External"/><Relationship Id="rId166" Type="http://schemas.openxmlformats.org/officeDocument/2006/relationships/hyperlink" Target="https://www.linkedin.com/learning/reshuffle-a-special-series-on-the-new-world-of-work?trk=ondemandfile" TargetMode="External"/><Relationship Id="rId161" Type="http://schemas.openxmlformats.org/officeDocument/2006/relationships/hyperlink" Target="https://www.linkedin.com/learning/succeeding-as-an-lgbt-professional?trk=ondemandfile" TargetMode="External"/><Relationship Id="rId160" Type="http://schemas.openxmlformats.org/officeDocument/2006/relationships/hyperlink" Target="https://www.linkedin.com/learning/digital-accessibility-for-the-modern-workplace-with-audio-descriptions?trk=ondemandfile" TargetMode="External"/><Relationship Id="rId159" Type="http://schemas.openxmlformats.org/officeDocument/2006/relationships/hyperlink" Target="https://www.linkedin.com/learning/how-to-be-more-inclusive?trk=ondemandfile" TargetMode="External"/><Relationship Id="rId154" Type="http://schemas.openxmlformats.org/officeDocument/2006/relationships/hyperlink" Target="https://www.linkedin.com/learning/color-and-cultural-connections?trk=ondemandfile" TargetMode="External"/><Relationship Id="rId153" Type="http://schemas.openxmlformats.org/officeDocument/2006/relationships/hyperlink" Target="https://www.linkedin.com/learning/just-ask-kwame-christian-on-discussing-race?trk=ondemandfile" TargetMode="External"/><Relationship Id="rId152" Type="http://schemas.openxmlformats.org/officeDocument/2006/relationships/hyperlink" Target="https://www.linkedin.com/learning/difficult-conversations-talking-about-race-at-work?trk=ondemandfile" TargetMode="External"/><Relationship Id="rId151" Type="http://schemas.openxmlformats.org/officeDocument/2006/relationships/hyperlink" Target="https://www.linkedin.com/learning/driving-change-and-anti-racism?trk=ondemandfile" TargetMode="External"/><Relationship Id="rId158" Type="http://schemas.openxmlformats.org/officeDocument/2006/relationships/hyperlink" Target="https://www.linkedin.com/learning/bystander-training-from-bystander-to-upstander?trk=ondemandfile" TargetMode="External"/><Relationship Id="rId157" Type="http://schemas.openxmlformats.org/officeDocument/2006/relationships/hyperlink" Target="https://www.linkedin.com/learning/speaking-up-at-work?trk=ondemandfile" TargetMode="External"/><Relationship Id="rId156" Type="http://schemas.openxmlformats.org/officeDocument/2006/relationships/hyperlink" Target="https://www.linkedin.com/learning/shane-snow-on-dream-teams?trk=ondemandfile" TargetMode="External"/><Relationship Id="rId155" Type="http://schemas.openxmlformats.org/officeDocument/2006/relationships/hyperlink" Target="https://www.linkedin.com/learning/becoming-a-male-ally-at-work?trk=ondemandfile" TargetMode="External"/><Relationship Id="rId107" Type="http://schemas.openxmlformats.org/officeDocument/2006/relationships/hyperlink" Target="https://www.linkedin.com/learning/inclusion-during-difficult-times?trk=ondemandfile" TargetMode="External"/><Relationship Id="rId106" Type="http://schemas.openxmlformats.org/officeDocument/2006/relationships/hyperlink" Target="https://www.linkedin.com/learning/collaborating-with-your-millennial-manager?trk=ondemandfile" TargetMode="External"/><Relationship Id="rId105" Type="http://schemas.openxmlformats.org/officeDocument/2006/relationships/hyperlink" Target="https://www.linkedin.com/learning/finding-and-doing-the-one-thing?trk=ondemandfile" TargetMode="External"/><Relationship Id="rId104" Type="http://schemas.openxmlformats.org/officeDocument/2006/relationships/hyperlink" Target="https://www.linkedin.com/learning/women-transforming-tech-networking?trk=ondemandfile" TargetMode="External"/><Relationship Id="rId109" Type="http://schemas.openxmlformats.org/officeDocument/2006/relationships/hyperlink" Target="https://www.linkedin.com/learning/allyship-for-all?trk=ondemandfile" TargetMode="External"/><Relationship Id="rId108" Type="http://schemas.openxmlformats.org/officeDocument/2006/relationships/hyperlink" Target="https://www.linkedin.com/learning/own-it-the-power-of-women-at-work?trk=ondemandfile" TargetMode="External"/><Relationship Id="rId103" Type="http://schemas.openxmlformats.org/officeDocument/2006/relationships/hyperlink" Target="https://www.linkedin.com/learning/women-transforming-tech-breaking-in-and-staying-in-the-industry?trk=ondemandfile" TargetMode="External"/><Relationship Id="rId102" Type="http://schemas.openxmlformats.org/officeDocument/2006/relationships/hyperlink" Target="https://www.linkedin.com/learning/women-transforming-tech-finding-a-mentor?trk=ondemandfile" TargetMode="External"/><Relationship Id="rId101" Type="http://schemas.openxmlformats.org/officeDocument/2006/relationships/hyperlink" Target="https://www.linkedin.com/learning/women-transforming-tech-building-your-brand?trk=ondemandfile" TargetMode="External"/><Relationship Id="rId100" Type="http://schemas.openxmlformats.org/officeDocument/2006/relationships/hyperlink" Target="https://www.linkedin.com/learning/overcoming-imposter-syndrome?trk=ondemandfile" TargetMode="External"/><Relationship Id="rId129" Type="http://schemas.openxmlformats.org/officeDocument/2006/relationships/hyperlink" Target="https://www.linkedin.com/learning/diversity-and-inclusion-in-marketing-inclusive-language-for-marketers?trk=ondemandfile" TargetMode="External"/><Relationship Id="rId128" Type="http://schemas.openxmlformats.org/officeDocument/2006/relationships/hyperlink" Target="https://www.linkedin.com/learning/fair-and-effective-interviewing-for-diversity-and-inclusion?trk=ondemandfile" TargetMode="External"/><Relationship Id="rId127" Type="http://schemas.openxmlformats.org/officeDocument/2006/relationships/hyperlink" Target="https://www.linkedin.com/learning/how-to-succeed-as-a-latina-in-a-global-work-environment?trk=ondemandfile" TargetMode="External"/><Relationship Id="rId126" Type="http://schemas.openxmlformats.org/officeDocument/2006/relationships/hyperlink" Target="https://www.linkedin.com/learning/developing-your-authentic-self-to-ignite-change?trk=ondemandfile" TargetMode="External"/><Relationship Id="rId121" Type="http://schemas.openxmlformats.org/officeDocument/2006/relationships/hyperlink" Target="https://www.linkedin.com/learning/emotional-intelligence-as-an-inclusivity-booster?trk=ondemandfile" TargetMode="External"/><Relationship Id="rId120" Type="http://schemas.openxmlformats.org/officeDocument/2006/relationships/hyperlink" Target="https://www.linkedin.com/learning/the-value-of-employee-resource-groups?trk=ondemandfile" TargetMode="External"/><Relationship Id="rId125" Type="http://schemas.openxmlformats.org/officeDocument/2006/relationships/hyperlink" Target="https://www.linkedin.com/learning/building-inclusive-work-communities?trk=ondemandfile" TargetMode="External"/><Relationship Id="rId124" Type="http://schemas.openxmlformats.org/officeDocument/2006/relationships/hyperlink" Target="https://www.linkedin.com/learning/talking-boldly-when-inclusion-meets-politics-at-the-office?trk=ondemandfile" TargetMode="External"/><Relationship Id="rId123" Type="http://schemas.openxmlformats.org/officeDocument/2006/relationships/hyperlink" Target="https://www.linkedin.com/learning/mindfulness-diversity-and-the-quest-for-inclusion?trk=ondemandfile" TargetMode="External"/><Relationship Id="rId122" Type="http://schemas.openxmlformats.org/officeDocument/2006/relationships/hyperlink" Target="https://www.linkedin.com/learning/mentorship-sponsorship-and-lifting-others-as-you-climb?trk=ondemandfile" TargetMode="External"/><Relationship Id="rId118" Type="http://schemas.openxmlformats.org/officeDocument/2006/relationships/hyperlink" Target="https://www.linkedin.com/learning/connecting-engagement-and-inclusion-to-a-culture-of-performance?trk=ondemandfile" TargetMode="External"/><Relationship Id="rId117" Type="http://schemas.openxmlformats.org/officeDocument/2006/relationships/hyperlink" Target="https://www.linkedin.com/learning/esl-for-business-multinational-communication-in-the-workplace?trk=ondemandfile" TargetMode="External"/><Relationship Id="rId116" Type="http://schemas.openxmlformats.org/officeDocument/2006/relationships/hyperlink" Target="https://www.linkedin.com/learning/al-empire-course-04?trk=ondemandfile" TargetMode="External"/><Relationship Id="rId115" Type="http://schemas.openxmlformats.org/officeDocument/2006/relationships/hyperlink" Target="https://www.linkedin.com/learning/al-empire-course-03?trk=ondemandfile" TargetMode="External"/><Relationship Id="rId119" Type="http://schemas.openxmlformats.org/officeDocument/2006/relationships/hyperlink" Target="https://www.linkedin.com/learning/branding-your-authentic-self?trk=ondemandfile" TargetMode="External"/><Relationship Id="rId110" Type="http://schemas.openxmlformats.org/officeDocument/2006/relationships/hyperlink" Target="https://www.linkedin.com/learning/inclusive-communication?trk=ondemandfile" TargetMode="External"/><Relationship Id="rId114" Type="http://schemas.openxmlformats.org/officeDocument/2006/relationships/hyperlink" Target="https://www.linkedin.com/learning/the-science-of-compassion-the-upward-spiral-of-compassion?trk=ondemandfile" TargetMode="External"/><Relationship Id="rId113" Type="http://schemas.openxmlformats.org/officeDocument/2006/relationships/hyperlink" Target="https://www.linkedin.com/learning/the-science-of-compassion-an-introduction?trk=ondemandfile" TargetMode="External"/><Relationship Id="rId112" Type="http://schemas.openxmlformats.org/officeDocument/2006/relationships/hyperlink" Target="https://www.linkedin.com/learning/the-power-of-introverts?trk=ondemandfile" TargetMode="External"/><Relationship Id="rId111" Type="http://schemas.openxmlformats.org/officeDocument/2006/relationships/hyperlink" Target="https://www.linkedin.com/learning/empathy-in-business-design-for-success?trk=ondemandfile"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linkedin.com/learning/editing-mastery-how-to-edit-writing-to-perfection?trk=ondemandfile" TargetMode="External"/><Relationship Id="rId2" Type="http://schemas.openxmlformats.org/officeDocument/2006/relationships/hyperlink" Target="https://www.linkedin.com/learning/paths/become-a-content-strategist-7?trk=ondemandfile" TargetMode="External"/><Relationship Id="rId3" Type="http://schemas.openxmlformats.org/officeDocument/2006/relationships/hyperlink" Target="https://www.linkedin.com/learning/balancing-multiple-roles-as-a-leader?trk=ondemandfile" TargetMode="External"/><Relationship Id="rId4" Type="http://schemas.openxmlformats.org/officeDocument/2006/relationships/hyperlink" Target="https://www.linkedin.com/learning/paths/manage-change-and-develop-your-adaptability-skills?trk=ondemandfile" TargetMode="External"/><Relationship Id="rId9" Type="http://schemas.openxmlformats.org/officeDocument/2006/relationships/hyperlink" Target="https://www.linkedin.com/learning/writing-white-papers?trk=ondemandfile" TargetMode="External"/><Relationship Id="rId5" Type="http://schemas.openxmlformats.org/officeDocument/2006/relationships/hyperlink" Target="https://www.linkedin.com/learning/writing-case-studies?trk=ondemandfile" TargetMode="External"/><Relationship Id="rId6" Type="http://schemas.openxmlformats.org/officeDocument/2006/relationships/hyperlink" Target="https://www.linkedin.com/learning/paths/develop-your-writing-skills?trk=ondemandfile" TargetMode="External"/><Relationship Id="rId7" Type="http://schemas.openxmlformats.org/officeDocument/2006/relationships/hyperlink" Target="https://www.linkedin.com/learning/creating-a-positive-and-healthy-work-environment?trk=ondemandfile" TargetMode="External"/><Relationship Id="rId8" Type="http://schemas.openxmlformats.org/officeDocument/2006/relationships/hyperlink" Target="https://www.linkedin.com/learning/paths/remote-working-setting-yourself-and-your-teams-up-for-success?trk=ondemandfile" TargetMode="External"/><Relationship Id="rId40" Type="http://schemas.openxmlformats.org/officeDocument/2006/relationships/hyperlink" Target="https://www.linkedin.com/learning/cultivate-healthy-ambition?trk=ondemandfile" TargetMode="External"/><Relationship Id="rId42" Type="http://schemas.openxmlformats.org/officeDocument/2006/relationships/hyperlink" Target="https://www.linkedin.com/learning/overcoming-overw-helm?trk=ondemandfile" TargetMode="External"/><Relationship Id="rId41" Type="http://schemas.openxmlformats.org/officeDocument/2006/relationships/hyperlink" Target="https://www.linkedin.com/learning/writing-with-impact?trk=ondemandfile" TargetMode="External"/><Relationship Id="rId44" Type="http://schemas.openxmlformats.org/officeDocument/2006/relationships/hyperlink" Target="https://www.linkedin.com/learning/finding-and-doing-the-one-thing?trk=ondemandfile" TargetMode="External"/><Relationship Id="rId43" Type="http://schemas.openxmlformats.org/officeDocument/2006/relationships/hyperlink" Target="https://www.linkedin.com/learning/writing-fundamentals-the-craft-of-story?trk=ondemandfile" TargetMode="External"/><Relationship Id="rId46" Type="http://schemas.openxmlformats.org/officeDocument/2006/relationships/hyperlink" Target="https://www.linkedin.com/learning/well-being-in-the-workplace?trk=ondemandfile" TargetMode="External"/><Relationship Id="rId45" Type="http://schemas.openxmlformats.org/officeDocument/2006/relationships/hyperlink" Target="https://www.linkedin.com/learning/conquering-writer-s-block?trk=ondemandfile" TargetMode="External"/><Relationship Id="rId48" Type="http://schemas.openxmlformats.org/officeDocument/2006/relationships/hyperlink" Target="https://www.linkedin.com/learning/managing-self-doubt-to-tackle-bigger-challenges?trk=ondemandfile" TargetMode="External"/><Relationship Id="rId47" Type="http://schemas.openxmlformats.org/officeDocument/2006/relationships/hyperlink" Target="https://www.linkedin.com/learning/running-a-design-business-writing-and-pricing-winning-proposals?trk=ondemandfile" TargetMode="External"/><Relationship Id="rId49" Type="http://schemas.openxmlformats.org/officeDocument/2006/relationships/hyperlink" Target="https://www.linkedin.com/learning/quick-tips-for-writing-business-emails?trk=ondemandfile" TargetMode="External"/><Relationship Id="rId31" Type="http://schemas.openxmlformats.org/officeDocument/2006/relationships/hyperlink" Target="https://www.linkedin.com/learning/writing-in-plain-language?trk=ondemandfile" TargetMode="External"/><Relationship Id="rId30" Type="http://schemas.openxmlformats.org/officeDocument/2006/relationships/hyperlink" Target="https://www.linkedin.com/learning/career-wellness-nano-tips-with-shade-zahrai?trk=contentmappingfile" TargetMode="External"/><Relationship Id="rId33" Type="http://schemas.openxmlformats.org/officeDocument/2006/relationships/hyperlink" Target="https://www.linkedin.com/learning/productivity-hacks-for-writers?trk=ondemandfile" TargetMode="External"/><Relationship Id="rId32" Type="http://schemas.openxmlformats.org/officeDocument/2006/relationships/hyperlink" Target="https://www.linkedin.com/learning/sharing-your-best-self-at-work?trk=ondemandfile" TargetMode="External"/><Relationship Id="rId35" Type="http://schemas.openxmlformats.org/officeDocument/2006/relationships/hyperlink" Target="https://www.linkedin.com/learning/writing-a-compelling-blog-post?trk=ondemandfile" TargetMode="External"/><Relationship Id="rId34" Type="http://schemas.openxmlformats.org/officeDocument/2006/relationships/hyperlink" Target="https://www.linkedin.com/learning/how-to-use-entrepreneurial-thinking-to-conquer-fear-and-motivate-yourself?trk=ondemandfile" TargetMode="External"/><Relationship Id="rId37" Type="http://schemas.openxmlformats.org/officeDocument/2006/relationships/hyperlink" Target="https://www.linkedin.com/learning/writing-formal-business-letters-and-emails?trk=ondemandfile" TargetMode="External"/><Relationship Id="rId36" Type="http://schemas.openxmlformats.org/officeDocument/2006/relationships/hyperlink" Target="https://www.linkedin.com/learning/practices-for-regulating-your-nervous-system-and-reducing-stress?trk=ondemandfile" TargetMode="External"/><Relationship Id="rId39" Type="http://schemas.openxmlformats.org/officeDocument/2006/relationships/hyperlink" Target="https://www.linkedin.com/learning/writing-with-flair-how-to-become-an-exceptional-writer?trk=ondemandfile" TargetMode="External"/><Relationship Id="rId38" Type="http://schemas.openxmlformats.org/officeDocument/2006/relationships/hyperlink" Target="https://www.linkedin.com/learning/staying-positive-in-the-face-of-negativity?trk=ondemandfile" TargetMode="External"/><Relationship Id="rId20" Type="http://schemas.openxmlformats.org/officeDocument/2006/relationships/hyperlink" Target="https://www.linkedin.com/learning/paths/developing-resilience-and-grit?trk=ondemandfile" TargetMode="External"/><Relationship Id="rId22" Type="http://schemas.openxmlformats.org/officeDocument/2006/relationships/hyperlink" Target="https://www.linkedin.com/learning/how-to-support-your-employees-well-being?trk=ondemandfile" TargetMode="External"/><Relationship Id="rId21" Type="http://schemas.openxmlformats.org/officeDocument/2006/relationships/hyperlink" Target="https://www.linkedin.com/learning/writing-emails-people-want-to-read?trk=ondemandfile" TargetMode="External"/><Relationship Id="rId24" Type="http://schemas.openxmlformats.org/officeDocument/2006/relationships/hyperlink" Target="https://www.linkedin.com/learning/managing-your-well-being-as-a-leader?trk=ondemandfile" TargetMode="External"/><Relationship Id="rId23" Type="http://schemas.openxmlformats.org/officeDocument/2006/relationships/hyperlink" Target="https://www.linkedin.com/learning/is-there-a-book-in-you-learn-to-create-your-own-masterpiece?trk=ondemandfile" TargetMode="External"/><Relationship Id="rId26" Type="http://schemas.openxmlformats.org/officeDocument/2006/relationships/hyperlink" Target="https://www.linkedin.com/learning/leading-with-empathy?trk=ondemandfile" TargetMode="External"/><Relationship Id="rId25" Type="http://schemas.openxmlformats.org/officeDocument/2006/relationships/hyperlink" Target="https://www.linkedin.com/learning/technical-writing-quick-start-guides?trk=ondemandfile" TargetMode="External"/><Relationship Id="rId28" Type="http://schemas.openxmlformats.org/officeDocument/2006/relationships/hyperlink" Target="https://www.linkedin.com/learning/the-leader-s-guide-to-mindfulness-getabstract-summary?trk=ondemandfile" TargetMode="External"/><Relationship Id="rId27" Type="http://schemas.openxmlformats.org/officeDocument/2006/relationships/hyperlink" Target="https://www.linkedin.com/learning/writing-articles-2?trk=ondemandfile" TargetMode="External"/><Relationship Id="rId29" Type="http://schemas.openxmlformats.org/officeDocument/2006/relationships/hyperlink" Target="https://www.linkedin.com/learning/writing-a-tech-resume?trk=ondemandfile" TargetMode="External"/><Relationship Id="rId11" Type="http://schemas.openxmlformats.org/officeDocument/2006/relationships/hyperlink" Target="https://www.linkedin.com/learning/paths/staying-positive-and-productive-during-uncertainty?trk=ondemandfile" TargetMode="External"/><Relationship Id="rId10" Type="http://schemas.openxmlformats.org/officeDocument/2006/relationships/hyperlink" Target="https://www.linkedin.com/learning/leading-with-fearless-mindfulness?trk=ondemandfile" TargetMode="External"/><Relationship Id="rId13" Type="http://schemas.openxmlformats.org/officeDocument/2006/relationships/hyperlink" Target="https://www.linkedin.com/learning/supporting-a-grieving-employee-a-manager-s-guide?trk=ondemandfile" TargetMode="External"/><Relationship Id="rId12" Type="http://schemas.openxmlformats.org/officeDocument/2006/relationships/hyperlink" Target="https://www.linkedin.com/learning/grammar-girl-s-quick-and-dirty-tips-for-better-writing?trk=ondemandfile" TargetMode="External"/><Relationship Id="rId15" Type="http://schemas.openxmlformats.org/officeDocument/2006/relationships/hyperlink" Target="https://www.linkedin.com/learning/quick-tips-for-better-business-writing?trk=ondemandfile" TargetMode="External"/><Relationship Id="rId14" Type="http://schemas.openxmlformats.org/officeDocument/2006/relationships/hyperlink" Target="https://www.linkedin.com/learning/paths/support-your-mental-health-during-challenging-times?trk=ondemandfile" TargetMode="External"/><Relationship Id="rId17" Type="http://schemas.openxmlformats.org/officeDocument/2006/relationships/hyperlink" Target="https://www.linkedin.com/learning/paths/supporting-your-well-being-during-times-of-change-and-uncertainty?trk=ondemandfile" TargetMode="External"/><Relationship Id="rId16" Type="http://schemas.openxmlformats.org/officeDocument/2006/relationships/hyperlink" Target="https://www.linkedin.com/learning/the-culture-code?trk=ondemandfile" TargetMode="External"/><Relationship Id="rId19" Type="http://schemas.openxmlformats.org/officeDocument/2006/relationships/hyperlink" Target="https://www.linkedin.com/learning/how-to-be-a-positive-leader?trk=ondemandfile" TargetMode="External"/><Relationship Id="rId18" Type="http://schemas.openxmlformats.org/officeDocument/2006/relationships/hyperlink" Target="https://www.linkedin.com/learning/writing-a-marketing-plan-2?trk=ondemandfile" TargetMode="External"/><Relationship Id="rId84" Type="http://schemas.openxmlformats.org/officeDocument/2006/relationships/hyperlink" Target="https://www.linkedin.com/learning/introduction-to-forgiveness-meditation?trk=ondemandfile" TargetMode="External"/><Relationship Id="rId83" Type="http://schemas.openxmlformats.org/officeDocument/2006/relationships/hyperlink" Target="https://www.linkedin.com/learning/introduction-to-loving-kindness-meditation?trk=ondemandfile" TargetMode="External"/><Relationship Id="rId86" Type="http://schemas.openxmlformats.org/officeDocument/2006/relationships/hyperlink" Target="https://www.linkedin.com/learning/mindful-leadership?trk=ondemandfile" TargetMode="External"/><Relationship Id="rId85" Type="http://schemas.openxmlformats.org/officeDocument/2006/relationships/hyperlink" Target="https://www.linkedin.com/learning/introduction-to-visualization-meditation?trk=ondemandfile" TargetMode="External"/><Relationship Id="rId88" Type="http://schemas.openxmlformats.org/officeDocument/2006/relationships/hyperlink" Target="https://www.linkedin.com/learning/overcoming-rejection?trk=ondemandfile" TargetMode="External"/><Relationship Id="rId87" Type="http://schemas.openxmlformats.org/officeDocument/2006/relationships/hyperlink" Target="https://www.linkedin.com/learning/creating-flow?trk=ondemandfile" TargetMode="External"/><Relationship Id="rId89" Type="http://schemas.openxmlformats.org/officeDocument/2006/relationships/hyperlink" Target="https://www.linkedin.com/learning/how-to-be-both-assertive-and-likable?trk=ondemandfile" TargetMode="External"/><Relationship Id="rId80" Type="http://schemas.openxmlformats.org/officeDocument/2006/relationships/hyperlink" Target="https://www.linkedin.com/learning/mindful-stress-management?trk=ondemandfile" TargetMode="External"/><Relationship Id="rId82" Type="http://schemas.openxmlformats.org/officeDocument/2006/relationships/hyperlink" Target="https://www.linkedin.com/learning/introduction-to-mind-like-sky-meditation?trk=ondemandfile" TargetMode="External"/><Relationship Id="rId81" Type="http://schemas.openxmlformats.org/officeDocument/2006/relationships/hyperlink" Target="https://www.linkedin.com/learning/introduction-to-gratitude-meditation?trk=ondemandfile" TargetMode="External"/><Relationship Id="rId73" Type="http://schemas.openxmlformats.org/officeDocument/2006/relationships/hyperlink" Target="https://www.linkedin.com/learning/sky-yogi-relax-and-stretch-for-a-better-flight?trk=ondemandfile" TargetMode="External"/><Relationship Id="rId72" Type="http://schemas.openxmlformats.org/officeDocument/2006/relationships/hyperlink" Target="https://www.linkedin.com/learning/avoiding-burnout-2019?trk=ondemandfile" TargetMode="External"/><Relationship Id="rId75" Type="http://schemas.openxmlformats.org/officeDocument/2006/relationships/hyperlink" Target="https://www.linkedin.com/learning/managing-stress-2019?trk=ondemandfile" TargetMode="External"/><Relationship Id="rId74" Type="http://schemas.openxmlformats.org/officeDocument/2006/relationships/hyperlink" Target="https://www.linkedin.com/learning/boost-emotional-intelligence-with-mindfulness?trk=ondemandfile" TargetMode="External"/><Relationship Id="rId77" Type="http://schemas.openxmlformats.org/officeDocument/2006/relationships/hyperlink" Target="https://www.linkedin.com/learning/mindful-productivity?trk=ondemandfile" TargetMode="External"/><Relationship Id="rId76" Type="http://schemas.openxmlformats.org/officeDocument/2006/relationships/hyperlink" Target="https://www.linkedin.com/learning/how-to-make-work-more-meaningful?trk=ondemandfile" TargetMode="External"/><Relationship Id="rId79" Type="http://schemas.openxmlformats.org/officeDocument/2006/relationships/hyperlink" Target="https://www.linkedin.com/learning/winding-down-get-a-better-night-s-sleep?trk=ondemandfile" TargetMode="External"/><Relationship Id="rId78" Type="http://schemas.openxmlformats.org/officeDocument/2006/relationships/hyperlink" Target="https://www.linkedin.com/learning/embracing-change-with-mindfulness?trk=ondemandfile" TargetMode="External"/><Relationship Id="rId71" Type="http://schemas.openxmlformats.org/officeDocument/2006/relationships/hyperlink" Target="https://www.linkedin.com/learning/developing-self-awareness?trk=ondemandfile" TargetMode="External"/><Relationship Id="rId70" Type="http://schemas.openxmlformats.org/officeDocument/2006/relationships/hyperlink" Target="https://www.linkedin.com/learning/meditations-to-change-your-brain?trk=ondemandfile" TargetMode="External"/><Relationship Id="rId62" Type="http://schemas.openxmlformats.org/officeDocument/2006/relationships/hyperlink" Target="https://www.linkedin.com/learning/how-to-stop-freaking-out-and-keep-moving-forward?trk=ondemandfile" TargetMode="External"/><Relationship Id="rId61" Type="http://schemas.openxmlformats.org/officeDocument/2006/relationships/hyperlink" Target="https://www.linkedin.com/learning/ninja-writing-the-four-levels-of-writing-mastery?trk=ondemandfile" TargetMode="External"/><Relationship Id="rId64" Type="http://schemas.openxmlformats.org/officeDocument/2006/relationships/hyperlink" Target="https://www.linkedin.com/learning/mindfulness-for-beginners?trk=ondemandfile" TargetMode="External"/><Relationship Id="rId63" Type="http://schemas.openxmlformats.org/officeDocument/2006/relationships/hyperlink" Target="https://www.linkedin.com/learning/how-to-have-compassionate-presence?trk=ondemandfile" TargetMode="External"/><Relationship Id="rId66" Type="http://schemas.openxmlformats.org/officeDocument/2006/relationships/hyperlink" Target="https://www.linkedin.com/learning/the-mindful-workday?trk=ondemandfile" TargetMode="External"/><Relationship Id="rId65" Type="http://schemas.openxmlformats.org/officeDocument/2006/relationships/hyperlink" Target="https://www.linkedin.com/learning/computer-and-text-neck-stretching-exercises?trk=ondemandfile" TargetMode="External"/><Relationship Id="rId68" Type="http://schemas.openxmlformats.org/officeDocument/2006/relationships/hyperlink" Target="https://www.linkedin.com/learning/ergonomics-101?trk=ondemandfile" TargetMode="External"/><Relationship Id="rId67" Type="http://schemas.openxmlformats.org/officeDocument/2006/relationships/hyperlink" Target="https://www.linkedin.com/learning/creating-technology-boundaries-for-your-phone?trk=ondemandfile" TargetMode="External"/><Relationship Id="rId60" Type="http://schemas.openxmlformats.org/officeDocument/2006/relationships/hyperlink" Target="https://www.linkedin.com/learning/overcoming-imposter-syndrome?trk=ondemandfile" TargetMode="External"/><Relationship Id="rId69" Type="http://schemas.openxmlformats.org/officeDocument/2006/relationships/hyperlink" Target="https://www.linkedin.com/learning/developing-your-emotional-intelligence?trk=ondemandfile" TargetMode="External"/><Relationship Id="rId51" Type="http://schemas.openxmlformats.org/officeDocument/2006/relationships/hyperlink" Target="https://www.linkedin.com/learning/writing-with-commonly-confused-words?trk=ondemandfile" TargetMode="External"/><Relationship Id="rId50" Type="http://schemas.openxmlformats.org/officeDocument/2006/relationships/hyperlink" Target="https://www.linkedin.com/learning/using-your-mind-to-change-your-brain?trk=ondemandfile" TargetMode="External"/><Relationship Id="rId53" Type="http://schemas.openxmlformats.org/officeDocument/2006/relationships/hyperlink" Target="https://www.linkedin.com/learning/sell-your-novel-to-a-major-publisher?trk=ondemandfile" TargetMode="External"/><Relationship Id="rId52" Type="http://schemas.openxmlformats.org/officeDocument/2006/relationships/hyperlink" Target="https://www.linkedin.com/learning/chair-work-yoga-fitness-and-stretching-at-your-desk?trk=ondemandfile" TargetMode="External"/><Relationship Id="rId55" Type="http://schemas.openxmlformats.org/officeDocument/2006/relationships/hyperlink" Target="https://www.linkedin.com/learning/the-foundations-of-fiction?trk=ondemandfile" TargetMode="External"/><Relationship Id="rId54" Type="http://schemas.openxmlformats.org/officeDocument/2006/relationships/hyperlink" Target="https://www.linkedin.com/learning/how-to-slash-anxiety-and-keep-positivity-flowing?trk=ondemandfile" TargetMode="External"/><Relationship Id="rId57" Type="http://schemas.openxmlformats.org/officeDocument/2006/relationships/hyperlink" Target="https://www.linkedin.com/learning/writing-and-delivering-speeches?trk=ondemandfile" TargetMode="External"/><Relationship Id="rId56" Type="http://schemas.openxmlformats.org/officeDocument/2006/relationships/hyperlink" Target="https://www.linkedin.com/learning/teaching-civility-in-the-workplace?trk=ondemandfile" TargetMode="External"/><Relationship Id="rId59" Type="http://schemas.openxmlformats.org/officeDocument/2006/relationships/hyperlink" Target="https://www.linkedin.com/learning/cold-email-prospecting?trk=ondemandfile" TargetMode="External"/><Relationship Id="rId58" Type="http://schemas.openxmlformats.org/officeDocument/2006/relationships/hyperlink" Target="https://www.linkedin.com/learning/de-stress?trk=ondemandfile" TargetMode="External"/><Relationship Id="rId95" Type="http://schemas.openxmlformats.org/officeDocument/2006/relationships/hyperlink" Target="https://www.linkedin.com/learning/overcoming-perfectionism?trk=ondemandfile" TargetMode="External"/><Relationship Id="rId94" Type="http://schemas.openxmlformats.org/officeDocument/2006/relationships/hyperlink" Target="https://www.linkedin.com/learning/strategies-to-improve-self-awareness?trk=ondemandfile" TargetMode="External"/><Relationship Id="rId97" Type="http://schemas.openxmlformats.org/officeDocument/2006/relationships/hyperlink" Target="https://www.linkedin.com/learning/lose-your-fear-of-asking-questions-at-work?trk=ondemandfile" TargetMode="External"/><Relationship Id="rId96" Type="http://schemas.openxmlformats.org/officeDocument/2006/relationships/hyperlink" Target="https://www.linkedin.com/learning/sales-well-being-managing-anxiety-burnout-and-rejection?trk=ondemandfile" TargetMode="External"/><Relationship Id="rId99" Type="http://schemas.openxmlformats.org/officeDocument/2006/relationships/hyperlink" Target="https://www.linkedin.com/learning/prepare-for-returning-to-the-workplace?trk=ondemandfile" TargetMode="External"/><Relationship Id="rId98" Type="http://schemas.openxmlformats.org/officeDocument/2006/relationships/hyperlink" Target="https://www.linkedin.com/learning/vulnerability-the-workplace-superpower-disguised-as-a-weakness?trk=ondemandfile" TargetMode="External"/><Relationship Id="rId91" Type="http://schemas.openxmlformats.org/officeDocument/2006/relationships/hyperlink" Target="https://www.linkedin.com/learning/establishing-evening-routines-to-optimize-the-day-ahead?trk=ondemandfile" TargetMode="External"/><Relationship Id="rId90" Type="http://schemas.openxmlformats.org/officeDocument/2006/relationships/hyperlink" Target="https://www.linkedin.com/learning/pushing-past-your-prior-limits?trk=ondemandfile" TargetMode="External"/><Relationship Id="rId93" Type="http://schemas.openxmlformats.org/officeDocument/2006/relationships/hyperlink" Target="https://www.linkedin.com/learning/confidence-how-to-overcome-self-doubt-insecurity-and-fears?trk=ondemandfile" TargetMode="External"/><Relationship Id="rId92" Type="http://schemas.openxmlformats.org/officeDocument/2006/relationships/hyperlink" Target="https://www.linkedin.com/learning/achieving-more-through-smart-energy-management?trk=ondemandfile" TargetMode="External"/><Relationship Id="rId150" Type="http://schemas.openxmlformats.org/officeDocument/2006/relationships/hyperlink" Target="https://www.linkedin.com/learning/the-five-thieves-of-happiness-getabstract-summary?trk=ondemandfile" TargetMode="External"/><Relationship Id="rId149" Type="http://schemas.openxmlformats.org/officeDocument/2006/relationships/hyperlink" Target="https://www.linkedin.com/learning/life-mastery-achieving-happiness-and-success?trk=ondemandfile" TargetMode="External"/><Relationship Id="rId148" Type="http://schemas.openxmlformats.org/officeDocument/2006/relationships/hyperlink" Target="https://www.linkedin.com/learning/supporting-your-mental-health-while-working-from-home?trk=ondemandfile" TargetMode="External"/><Relationship Id="rId143" Type="http://schemas.openxmlformats.org/officeDocument/2006/relationships/hyperlink" Target="https://www.linkedin.com/learning/greg-mckeown-on-the-art-of-getting-effortless-results-without-burning-out?trk=ondemandfile" TargetMode="External"/><Relationship Id="rId142" Type="http://schemas.openxmlformats.org/officeDocument/2006/relationships/hyperlink" Target="https://www.linkedin.com/learning/good-vibes-good-life-blinkist-summary?trk=ondemandfile" TargetMode="External"/><Relationship Id="rId141" Type="http://schemas.openxmlformats.org/officeDocument/2006/relationships/hyperlink" Target="https://www.linkedin.com/learning/exceptional-blinkist-summary?trk=ondemandfile" TargetMode="External"/><Relationship Id="rId140" Type="http://schemas.openxmlformats.org/officeDocument/2006/relationships/hyperlink" Target="https://www.linkedin.com/learning/it-s-all-possible-blinkist-summary?trk=ondemandfile" TargetMode="External"/><Relationship Id="rId147" Type="http://schemas.openxmlformats.org/officeDocument/2006/relationships/hyperlink" Target="https://www.linkedin.com/learning/being-the-best-you-self-improvement-modeling?trk=ondemandfile" TargetMode="External"/><Relationship Id="rId146" Type="http://schemas.openxmlformats.org/officeDocument/2006/relationships/hyperlink" Target="https://www.linkedin.com/learning/sheryl-sandberg-and-adam-grant-on-option-b?trk=ondemandfile" TargetMode="External"/><Relationship Id="rId145" Type="http://schemas.openxmlformats.org/officeDocument/2006/relationships/hyperlink" Target="https://www.linkedin.com/learning/gretchen-rubin-on-creating-great-workplace-habits?trk=ondemandfile" TargetMode="External"/><Relationship Id="rId144" Type="http://schemas.openxmlformats.org/officeDocument/2006/relationships/hyperlink" Target="https://www.linkedin.com/learning/navigating-fear-of-missing-out-fomo-at-work?trk=ondemandfile" TargetMode="External"/><Relationship Id="rId139" Type="http://schemas.openxmlformats.org/officeDocument/2006/relationships/hyperlink" Target="https://www.linkedin.com/learning/the-joy-of-missing-out-blinkist-summary?trk=ondemandfile" TargetMode="External"/><Relationship Id="rId138" Type="http://schemas.openxmlformats.org/officeDocument/2006/relationships/hyperlink" Target="https://www.linkedin.com/learning/the-art-of-impossible-blinkist-summary?trk=ondemandfile" TargetMode="External"/><Relationship Id="rId137" Type="http://schemas.openxmlformats.org/officeDocument/2006/relationships/hyperlink" Target="https://www.linkedin.com/learning/how-to-beat-workplace-loneliness?trk=ondemandfile" TargetMode="External"/><Relationship Id="rId132" Type="http://schemas.openxmlformats.org/officeDocument/2006/relationships/hyperlink" Target="https://www.linkedin.com/learning/unsubscribe?trk=ondemandfile" TargetMode="External"/><Relationship Id="rId131" Type="http://schemas.openxmlformats.org/officeDocument/2006/relationships/hyperlink" Target="https://www.linkedin.com/learning/thriving-work-leveraging-the-connection-between-well-being-and-productivity?trk=ondemandfile" TargetMode="External"/><Relationship Id="rId130" Type="http://schemas.openxmlformats.org/officeDocument/2006/relationships/hyperlink" Target="https://www.linkedin.com/learning/exercising-a-growth-mindset-as-a-leader-nine-common-workplace-challenges?trk=ondemandfile" TargetMode="External"/><Relationship Id="rId136" Type="http://schemas.openxmlformats.org/officeDocument/2006/relationships/hyperlink" Target="https://www.linkedin.com/learning/balancing-work-and-life-14577337?trk=ondemandfile" TargetMode="External"/><Relationship Id="rId135" Type="http://schemas.openxmlformats.org/officeDocument/2006/relationships/hyperlink" Target="https://www.linkedin.com/learning/noise-blinkist-summary?trk=ondemandfile" TargetMode="External"/><Relationship Id="rId134" Type="http://schemas.openxmlformats.org/officeDocument/2006/relationships/hyperlink" Target="https://www.linkedin.com/learning/adaptive-leadership-for-vuca-challenges?trk=ondemandfile" TargetMode="External"/><Relationship Id="rId133" Type="http://schemas.openxmlformats.org/officeDocument/2006/relationships/hyperlink" Target="https://www.linkedin.com/learning/driving-workplace-happiness?trk=ondemandfile" TargetMode="External"/><Relationship Id="rId171" Type="http://schemas.openxmlformats.org/officeDocument/2006/relationships/drawing" Target="../drawings/drawing18.xml"/><Relationship Id="rId170" Type="http://schemas.openxmlformats.org/officeDocument/2006/relationships/hyperlink" Target="https://www.linkedin.com/learning/the-power-of-habit-blinkist-summary?trk=ondemandfile" TargetMode="External"/><Relationship Id="rId165" Type="http://schemas.openxmlformats.org/officeDocument/2006/relationships/hyperlink" Target="https://www.linkedin.com/learning/how-to-have-a-great-day-at-work-with-caroline-webb?trk=ondemandfile" TargetMode="External"/><Relationship Id="rId164" Type="http://schemas.openxmlformats.org/officeDocument/2006/relationships/hyperlink" Target="https://www.linkedin.com/learning/succeeding-as-an-lgbt-professional?trk=ondemandfile" TargetMode="External"/><Relationship Id="rId163" Type="http://schemas.openxmlformats.org/officeDocument/2006/relationships/hyperlink" Target="https://www.linkedin.com/learning/habits-to-win-every-day?trk=ondemandfile" TargetMode="External"/><Relationship Id="rId162" Type="http://schemas.openxmlformats.org/officeDocument/2006/relationships/hyperlink" Target="https://www.linkedin.com/learning/reframing-the-power-of-changing-your-perspective?trk=ondemandfile" TargetMode="External"/><Relationship Id="rId169" Type="http://schemas.openxmlformats.org/officeDocument/2006/relationships/hyperlink" Target="https://www.linkedin.com/learning/the-miracle-morning-blinkist-summary?trk=ondemandfile" TargetMode="External"/><Relationship Id="rId168" Type="http://schemas.openxmlformats.org/officeDocument/2006/relationships/hyperlink" Target="https://www.linkedin.com/learning/mel-robbins-on-confidence?trk=ondemandfile" TargetMode="External"/><Relationship Id="rId167" Type="http://schemas.openxmlformats.org/officeDocument/2006/relationships/hyperlink" Target="https://www.linkedin.com/learning/the-step-by-step-guide-to-reinventing-yourself?trk=ondemandfile" TargetMode="External"/><Relationship Id="rId166" Type="http://schemas.openxmlformats.org/officeDocument/2006/relationships/hyperlink" Target="https://www.linkedin.com/learning/confidence-building-strategies-for-work-and-life?trk=ondemandfile" TargetMode="External"/><Relationship Id="rId161" Type="http://schemas.openxmlformats.org/officeDocument/2006/relationships/hyperlink" Target="https://www.linkedin.com/learning/enhance-productivity-in-a-hybrid-work-environment?trk=ondemandfile" TargetMode="External"/><Relationship Id="rId160" Type="http://schemas.openxmlformats.org/officeDocument/2006/relationships/hyperlink" Target="https://www.linkedin.com/learning/beating-procrastination?trk=ondemandfile" TargetMode="External"/><Relationship Id="rId159" Type="http://schemas.openxmlformats.org/officeDocument/2006/relationships/hyperlink" Target="https://www.linkedin.com/learning/how-to-create-a-life-of-meaning-and-purpose?trk=ondemandfile" TargetMode="External"/><Relationship Id="rId154" Type="http://schemas.openxmlformats.org/officeDocument/2006/relationships/hyperlink" Target="https://www.linkedin.com/learning/confronting-bias-thriving-across-our-differences?trk=ondemandfile" TargetMode="External"/><Relationship Id="rId153" Type="http://schemas.openxmlformats.org/officeDocument/2006/relationships/hyperlink" Target="https://www.linkedin.com/learning/how-to-manage-feeling-overwhelmed?trk=ondemandfile" TargetMode="External"/><Relationship Id="rId152" Type="http://schemas.openxmlformats.org/officeDocument/2006/relationships/hyperlink" Target="https://www.linkedin.com/learning/essentials-of-mindfulness-and-compassion-with-scott-shute?trk=ondemandfile" TargetMode="External"/><Relationship Id="rId151" Type="http://schemas.openxmlformats.org/officeDocument/2006/relationships/hyperlink" Target="https://www.linkedin.com/learning/balancing-work-and-life-as-a-work-from-home-parent?trk=ondemandfile" TargetMode="External"/><Relationship Id="rId158" Type="http://schemas.openxmlformats.org/officeDocument/2006/relationships/hyperlink" Target="https://www.linkedin.com/learning/mindfulness-practices?trk=ondemandfile" TargetMode="External"/><Relationship Id="rId157" Type="http://schemas.openxmlformats.org/officeDocument/2006/relationships/hyperlink" Target="https://www.linkedin.com/learning/managing-anxiety-in-the-workplace?trk=ondemandfile" TargetMode="External"/><Relationship Id="rId156" Type="http://schemas.openxmlformats.org/officeDocument/2006/relationships/hyperlink" Target="https://www.linkedin.com/learning/managing-your-energy-for-better-performance?trk=ondemandfile" TargetMode="External"/><Relationship Id="rId155" Type="http://schemas.openxmlformats.org/officeDocument/2006/relationships/hyperlink" Target="https://www.linkedin.com/learning/managing-depression-in-the-workplace?trk=ondemandfile" TargetMode="External"/><Relationship Id="rId107" Type="http://schemas.openxmlformats.org/officeDocument/2006/relationships/hyperlink" Target="https://www.linkedin.com/learning/manage-burnout-at-work-with-these-simple-strategies?trk=ondemandfile" TargetMode="External"/><Relationship Id="rId106" Type="http://schemas.openxmlformats.org/officeDocument/2006/relationships/hyperlink" Target="https://www.linkedin.com/learning/habits-for-becoming-your-most-effective-self?trk=ondemandfile" TargetMode="External"/><Relationship Id="rId105" Type="http://schemas.openxmlformats.org/officeDocument/2006/relationships/hyperlink" Target="https://www.linkedin.com/learning/mindfulness-diversity-and-the-quest-for-inclusion?trk=ondemandfile" TargetMode="External"/><Relationship Id="rId104" Type="http://schemas.openxmlformats.org/officeDocument/2006/relationships/hyperlink" Target="https://www.linkedin.com/learning/mindful-eating?trk=ondemandfile" TargetMode="External"/><Relationship Id="rId109" Type="http://schemas.openxmlformats.org/officeDocument/2006/relationships/hyperlink" Target="https://www.linkedin.com/learning/strategies-to-get-and-stay-unstuck?trk=ondemandfile" TargetMode="External"/><Relationship Id="rId108" Type="http://schemas.openxmlformats.org/officeDocument/2006/relationships/hyperlink" Target="https://www.linkedin.com/learning/don-t-take-yes-for-an-answer-blinkist-summary?trk=ondemandfile" TargetMode="External"/><Relationship Id="rId103" Type="http://schemas.openxmlformats.org/officeDocument/2006/relationships/hyperlink" Target="https://www.linkedin.com/learning/improving-emotional-intelligence-with-mindfulness?trk=ondemandfile" TargetMode="External"/><Relationship Id="rId102" Type="http://schemas.openxmlformats.org/officeDocument/2006/relationships/hyperlink" Target="https://www.linkedin.com/learning/mindful-team-building?trk=ondemandfile" TargetMode="External"/><Relationship Id="rId101" Type="http://schemas.openxmlformats.org/officeDocument/2006/relationships/hyperlink" Target="https://www.linkedin.com/learning/how-to-use-rejection-to-your-advantage?trk=ondemandfile" TargetMode="External"/><Relationship Id="rId100" Type="http://schemas.openxmlformats.org/officeDocument/2006/relationships/hyperlink" Target="https://www.linkedin.com/learning/aligning-your-values-with-work-life-and-everything-in-between?trk=ondemandfile" TargetMode="External"/><Relationship Id="rId129" Type="http://schemas.openxmlformats.org/officeDocument/2006/relationships/hyperlink" Target="https://www.linkedin.com/learning/45-minute-business-plan?trk=ondemandfile" TargetMode="External"/><Relationship Id="rId128" Type="http://schemas.openxmlformats.org/officeDocument/2006/relationships/hyperlink" Target="https://www.linkedin.com/learning/meditation-audio-course?trk=ondemandfile" TargetMode="External"/><Relationship Id="rId127" Type="http://schemas.openxmlformats.org/officeDocument/2006/relationships/hyperlink" Target="https://www.linkedin.com/learning/managing-employee-stress-for-positive-change?trk=ondemandfile" TargetMode="External"/><Relationship Id="rId126" Type="http://schemas.openxmlformats.org/officeDocument/2006/relationships/hyperlink" Target="https://www.linkedin.com/learning/facilities-management-social-distancing-and-ppe-14016700?trk=ondemandfile" TargetMode="External"/><Relationship Id="rId121" Type="http://schemas.openxmlformats.org/officeDocument/2006/relationships/hyperlink" Target="https://www.linkedin.com/learning/head-strong-blinkist-summary?trk=ondemandfile" TargetMode="External"/><Relationship Id="rId120" Type="http://schemas.openxmlformats.org/officeDocument/2006/relationships/hyperlink" Target="https://www.linkedin.com/learning/building-better-routines-2022?trk=ondemandfile" TargetMode="External"/><Relationship Id="rId125" Type="http://schemas.openxmlformats.org/officeDocument/2006/relationships/hyperlink" Target="https://www.linkedin.com/learning/training-your-mind-to-overcome-pressure-and-underperformance?trk=ondemandfile" TargetMode="External"/><Relationship Id="rId124" Type="http://schemas.openxmlformats.org/officeDocument/2006/relationships/hyperlink" Target="https://www.linkedin.com/learning/break-free-from-the-negative-chatter-in-your-head?trk=ondemandfile" TargetMode="External"/><Relationship Id="rId123" Type="http://schemas.openxmlformats.org/officeDocument/2006/relationships/hyperlink" Target="https://www.linkedin.com/learning/how-to-beat-burnout-exhaustion-and-stress?trk=ondemandfile" TargetMode="External"/><Relationship Id="rId122" Type="http://schemas.openxmlformats.org/officeDocument/2006/relationships/hyperlink" Target="https://www.linkedin.com/learning/stop-overthinking-and-manage-your-inner-critic?trk=ondemandfile" TargetMode="External"/><Relationship Id="rId118" Type="http://schemas.openxmlformats.org/officeDocument/2006/relationships/hyperlink" Target="https://www.linkedin.com/learning/emotional-intelligence-basics?trk=ondemandfile" TargetMode="External"/><Relationship Id="rId117" Type="http://schemas.openxmlformats.org/officeDocument/2006/relationships/hyperlink" Target="https://www.linkedin.com/learning/increasing-confidence-by-increasing-self-awareness?trk=contentmappingfile" TargetMode="External"/><Relationship Id="rId116" Type="http://schemas.openxmlformats.org/officeDocument/2006/relationships/hyperlink" Target="https://www.linkedin.com/learning/how-to-find-and-use-your-strengths?trk=contentmappingfile" TargetMode="External"/><Relationship Id="rId115" Type="http://schemas.openxmlformats.org/officeDocument/2006/relationships/hyperlink" Target="https://www.linkedin.com/learning/how-to-have-a-happier-workweek?trk=contentmappingfile" TargetMode="External"/><Relationship Id="rId119" Type="http://schemas.openxmlformats.org/officeDocument/2006/relationships/hyperlink" Target="https://www.linkedin.com/learning/managing-your-energy-2022?trk=ondemandfile" TargetMode="External"/><Relationship Id="rId110" Type="http://schemas.openxmlformats.org/officeDocument/2006/relationships/hyperlink" Target="https://www.linkedin.com/learning/mindset-blinkist-summary?trk=ondemandfile" TargetMode="External"/><Relationship Id="rId114" Type="http://schemas.openxmlformats.org/officeDocument/2006/relationships/hyperlink" Target="https://www.linkedin.com/learning/mindfulness-a-critical-skill-for-project-managers?trk=ondemandfile" TargetMode="External"/><Relationship Id="rId113" Type="http://schemas.openxmlformats.org/officeDocument/2006/relationships/hyperlink" Target="https://www.linkedin.com/learning/conquering-freak-outs-and-the-fear-of-failure?trk=ondemandfile" TargetMode="External"/><Relationship Id="rId112" Type="http://schemas.openxmlformats.org/officeDocument/2006/relationships/hyperlink" Target="https://www.linkedin.com/learning/developing-your-authentic-self-to-ignite-change?trk=ondemandfile" TargetMode="External"/><Relationship Id="rId111" Type="http://schemas.openxmlformats.org/officeDocument/2006/relationships/hyperlink" Target="https://www.linkedin.com/learning/upgrading-your-confidence-and-courage-at-work?trk=ondemandfile"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linkedin.com/learning/leading-change-2018?trk=ondemandfile" TargetMode="External"/><Relationship Id="rId2" Type="http://schemas.openxmlformats.org/officeDocument/2006/relationships/hyperlink" Target="https://www.linkedin.com/learning/paths/become-a-leader?trk=ondemandfile" TargetMode="External"/><Relationship Id="rId3" Type="http://schemas.openxmlformats.org/officeDocument/2006/relationships/hyperlink" Target="https://www.linkedin.com/learning/counterintuitive-leadership-strategies-for-a-vuca-environment?trk=ondemandfile" TargetMode="External"/><Relationship Id="rId4" Type="http://schemas.openxmlformats.org/officeDocument/2006/relationships/hyperlink" Target="https://www.linkedin.com/learning/paths/become-a-leader-people-love?trk=ondemandfile" TargetMode="External"/><Relationship Id="rId9" Type="http://schemas.openxmlformats.org/officeDocument/2006/relationships/hyperlink" Target="https://www.linkedin.com/learning/leading-globally?trk=ondemandfile" TargetMode="External"/><Relationship Id="rId5" Type="http://schemas.openxmlformats.org/officeDocument/2006/relationships/hyperlink" Target="https://www.linkedin.com/learning/vision-in-action-leaders-live-case-studies?trk=ondemandfile" TargetMode="External"/><Relationship Id="rId6" Type="http://schemas.openxmlformats.org/officeDocument/2006/relationships/hyperlink" Target="https://www.linkedin.com/learning/paths/become-a-manager?trk=ondemandfile" TargetMode="External"/><Relationship Id="rId7" Type="http://schemas.openxmlformats.org/officeDocument/2006/relationships/hyperlink" Target="https://www.linkedin.com/learning/leading-the-organization-monthly?trk=ondemandfile" TargetMode="External"/><Relationship Id="rId8" Type="http://schemas.openxmlformats.org/officeDocument/2006/relationships/hyperlink" Target="https://www.linkedin.com/learning/paths/become-a-thought-leader?trk=ondemandfile" TargetMode="External"/><Relationship Id="rId40" Type="http://schemas.openxmlformats.org/officeDocument/2006/relationships/hyperlink" Target="https://www.linkedin.com/learning/risk-taking-for-leaders-14145630?trk=ondemandfile" TargetMode="External"/><Relationship Id="rId42" Type="http://schemas.openxmlformats.org/officeDocument/2006/relationships/hyperlink" Target="https://www.linkedin.com/learning/foundations-of-leading-global-organisations?trk=ondemandfile" TargetMode="External"/><Relationship Id="rId41" Type="http://schemas.openxmlformats.org/officeDocument/2006/relationships/hyperlink" Target="https://www.linkedin.com/learning/leadership-upskilling-in-a-zoom-economy?trk=ondemandfile" TargetMode="External"/><Relationship Id="rId44" Type="http://schemas.openxmlformats.org/officeDocument/2006/relationships/hyperlink" Target="https://www.linkedin.com/learning/organizational-thought-leadership?trk=ondemandfile" TargetMode="External"/><Relationship Id="rId43" Type="http://schemas.openxmlformats.org/officeDocument/2006/relationships/hyperlink" Target="https://www.linkedin.com/learning/creating-a-culture-of-service?trk=ondemandfile" TargetMode="External"/><Relationship Id="rId46" Type="http://schemas.openxmlformats.org/officeDocument/2006/relationships/hyperlink" Target="https://www.linkedin.com/learning/using-emotions-to-leverage-and-accelerate-change-a-guide-for-leaders?trk=ondemandfile" TargetMode="External"/><Relationship Id="rId45" Type="http://schemas.openxmlformats.org/officeDocument/2006/relationships/hyperlink" Target="https://www.linkedin.com/learning/leading-with-vision?trk=ondemandfile" TargetMode="External"/><Relationship Id="rId48" Type="http://schemas.openxmlformats.org/officeDocument/2006/relationships/hyperlink" Target="https://www.linkedin.com/learning/coaching-your-team-from-uncertainty-to-action?trk=ondemandfile" TargetMode="External"/><Relationship Id="rId47" Type="http://schemas.openxmlformats.org/officeDocument/2006/relationships/hyperlink" Target="https://www.linkedin.com/learning/getting-your-talent-to-bring-their-best-ideas-to-work?trk=ondemandfile" TargetMode="External"/><Relationship Id="rId49" Type="http://schemas.openxmlformats.org/officeDocument/2006/relationships/hyperlink" Target="https://www.linkedin.com/learning/coaching-yourself-through-the-ambiguity-of-leading?trk=ondemandfile" TargetMode="External"/><Relationship Id="rId31" Type="http://schemas.openxmlformats.org/officeDocument/2006/relationships/hyperlink" Target="https://www.linkedin.com/learning/stories-every-leader-should-tell?trk=ondemandfile" TargetMode="External"/><Relationship Id="rId30" Type="http://schemas.openxmlformats.org/officeDocument/2006/relationships/hyperlink" Target="https://www.linkedin.com/learning/leading-from-the-middle?trk=ondemandfile" TargetMode="External"/><Relationship Id="rId33" Type="http://schemas.openxmlformats.org/officeDocument/2006/relationships/hyperlink" Target="https://www.linkedin.com/learning/leading-with-values?trk=ondemandfile" TargetMode="External"/><Relationship Id="rId32" Type="http://schemas.openxmlformats.org/officeDocument/2006/relationships/hyperlink" Target="https://www.linkedin.com/learning/start-with-why?trk=ondemandfile" TargetMode="External"/><Relationship Id="rId35" Type="http://schemas.openxmlformats.org/officeDocument/2006/relationships/hyperlink" Target="https://www.linkedin.com/learning/collaborative-leadership?trk=ondemandfile" TargetMode="External"/><Relationship Id="rId34" Type="http://schemas.openxmlformats.org/officeDocument/2006/relationships/hyperlink" Target="https://www.linkedin.com/learning/change-leadership?trk=ondemandfile" TargetMode="External"/><Relationship Id="rId37" Type="http://schemas.openxmlformats.org/officeDocument/2006/relationships/hyperlink" Target="https://www.linkedin.com/learning/human-centered-leadership?trk=ondemandfile" TargetMode="External"/><Relationship Id="rId36" Type="http://schemas.openxmlformats.org/officeDocument/2006/relationships/hyperlink" Target="https://www.linkedin.com/learning/executive-leadership?trk=ondemandfile" TargetMode="External"/><Relationship Id="rId39" Type="http://schemas.openxmlformats.org/officeDocument/2006/relationships/hyperlink" Target="https://www.linkedin.com/learning/balancing-multiple-roles-as-a-leader?trk=ondemandfile" TargetMode="External"/><Relationship Id="rId38" Type="http://schemas.openxmlformats.org/officeDocument/2006/relationships/hyperlink" Target="https://www.linkedin.com/learning/leading-with-purpose?trk=ondemandfile" TargetMode="External"/><Relationship Id="rId20" Type="http://schemas.openxmlformats.org/officeDocument/2006/relationships/hyperlink" Target="https://www.linkedin.com/learning/paths/managing-and-leading-developers?trk=ondemandfile" TargetMode="External"/><Relationship Id="rId22" Type="http://schemas.openxmlformats.org/officeDocument/2006/relationships/hyperlink" Target="https://www.linkedin.com/learning/paths/managing-others-effectively-3?trk=ondemandfile" TargetMode="External"/><Relationship Id="rId21" Type="http://schemas.openxmlformats.org/officeDocument/2006/relationships/hyperlink" Target="https://www.linkedin.com/learning/transition-from-manager-to-leader?trk=ondemandfile" TargetMode="External"/><Relationship Id="rId24" Type="http://schemas.openxmlformats.org/officeDocument/2006/relationships/hyperlink" Target="https://www.linkedin.com/learning/paths/master-in-demand-skills-for-technology-leadership?trk=ondemandfile" TargetMode="External"/><Relationship Id="rId23" Type="http://schemas.openxmlformats.org/officeDocument/2006/relationships/hyperlink" Target="https://www.linkedin.com/learning/transformational-leadership?trk=ondemandfile" TargetMode="External"/><Relationship Id="rId26" Type="http://schemas.openxmlformats.org/officeDocument/2006/relationships/hyperlink" Target="https://www.linkedin.com/learning/paths/women-in-leadership-3?trk=ondemandfile" TargetMode="External"/><Relationship Id="rId25" Type="http://schemas.openxmlformats.org/officeDocument/2006/relationships/hyperlink" Target="https://www.linkedin.com/learning/building-resilience-as-a-leader?trk=ondemandfile" TargetMode="External"/><Relationship Id="rId28" Type="http://schemas.openxmlformats.org/officeDocument/2006/relationships/hyperlink" Target="https://www.linkedin.com/learning/managing-new-managers?trk=ondemandfile" TargetMode="External"/><Relationship Id="rId27" Type="http://schemas.openxmlformats.org/officeDocument/2006/relationships/hyperlink" Target="https://www.linkedin.com/learning/working-with-an-executive-coach?trk=ondemandfile" TargetMode="External"/><Relationship Id="rId29" Type="http://schemas.openxmlformats.org/officeDocument/2006/relationships/hyperlink" Target="https://www.linkedin.com/learning/navigating-executive-politics?trk=ondemandfile" TargetMode="External"/><Relationship Id="rId11" Type="http://schemas.openxmlformats.org/officeDocument/2006/relationships/hyperlink" Target="https://www.linkedin.com/learning/leading-with-innovation?trk=ondemandfile" TargetMode="External"/><Relationship Id="rId10" Type="http://schemas.openxmlformats.org/officeDocument/2006/relationships/hyperlink" Target="https://www.linkedin.com/learning/paths/become-an-inclusive-leader?trk=ondemandfile" TargetMode="External"/><Relationship Id="rId13" Type="http://schemas.openxmlformats.org/officeDocument/2006/relationships/hyperlink" Target="https://www.linkedin.com/learning/ryan-holmes-on-social-leadership?trk=ondemandfile" TargetMode="External"/><Relationship Id="rId12" Type="http://schemas.openxmlformats.org/officeDocument/2006/relationships/hyperlink" Target="https://www.linkedin.com/learning/paths/digital-transformation-for-tech-leaders?trk=ondemandfile" TargetMode="External"/><Relationship Id="rId15" Type="http://schemas.openxmlformats.org/officeDocument/2006/relationships/hyperlink" Target="https://www.linkedin.com/learning/leadership-stories-5-minute-lessons-in-leading-people?trk=ondemandfile" TargetMode="External"/><Relationship Id="rId14" Type="http://schemas.openxmlformats.org/officeDocument/2006/relationships/hyperlink" Target="https://www.linkedin.com/learning/paths/diversity-inclusion-and-belonging-for-leaders-and-managers?trk=ondemandfile" TargetMode="External"/><Relationship Id="rId17" Type="http://schemas.openxmlformats.org/officeDocument/2006/relationships/hyperlink" Target="https://www.linkedin.com/learning/leading-organizations-ten-timeless-truths-getabstract-summary?trk=ondemandfile" TargetMode="External"/><Relationship Id="rId16" Type="http://schemas.openxmlformats.org/officeDocument/2006/relationships/hyperlink" Target="https://www.linkedin.com/learning/paths/fostering-innovation?trk=ondemandfile" TargetMode="External"/><Relationship Id="rId19" Type="http://schemas.openxmlformats.org/officeDocument/2006/relationships/hyperlink" Target="https://www.linkedin.com/learning/inclusive-leadership?trk=ondemandfile" TargetMode="External"/><Relationship Id="rId18" Type="http://schemas.openxmlformats.org/officeDocument/2006/relationships/hyperlink" Target="https://www.linkedin.com/learning/paths/leading-others-effectively?trk=ondemandfile" TargetMode="External"/><Relationship Id="rId84" Type="http://schemas.openxmlformats.org/officeDocument/2006/relationships/hyperlink" Target="https://www.linkedin.com/learning/executive-presence-on-video-conference-calls?trk=ondemandfile" TargetMode="External"/><Relationship Id="rId83" Type="http://schemas.openxmlformats.org/officeDocument/2006/relationships/hyperlink" Target="https://www.linkedin.com/learning/leading-your-team-through-actionable-change?trk=ondemandfile" TargetMode="External"/><Relationship Id="rId86" Type="http://schemas.openxmlformats.org/officeDocument/2006/relationships/hyperlink" Target="https://www.linkedin.com/learning/leading-and-working-in-teams?trk=ondemandfile" TargetMode="External"/><Relationship Id="rId85" Type="http://schemas.openxmlformats.org/officeDocument/2006/relationships/hyperlink" Target="https://www.linkedin.com/learning/facilitation-skills-for-managers-and-leaders?trk=ondemandfile" TargetMode="External"/><Relationship Id="rId88" Type="http://schemas.openxmlformats.org/officeDocument/2006/relationships/hyperlink" Target="https://www.linkedin.com/learning/2020-vlog-leading-with-intelligent-disobedience?trk=ondemandfile" TargetMode="External"/><Relationship Id="rId87" Type="http://schemas.openxmlformats.org/officeDocument/2006/relationships/hyperlink" Target="https://www.linkedin.com/learning/leading-with-applied-improv?trk=ondemandfile" TargetMode="External"/><Relationship Id="rId89" Type="http://schemas.openxmlformats.org/officeDocument/2006/relationships/hyperlink" Target="https://www.linkedin.com/learning/leading-through-relationships?trk=ondemandfile" TargetMode="External"/><Relationship Id="rId80" Type="http://schemas.openxmlformats.org/officeDocument/2006/relationships/hyperlink" Target="https://www.linkedin.com/learning/how-to-be-a-positive-leader?trk=ondemandfile" TargetMode="External"/><Relationship Id="rId82" Type="http://schemas.openxmlformats.org/officeDocument/2006/relationships/hyperlink" Target="https://www.linkedin.com/learning/be-a-better-manager-by-motivating-your-team?trk=ondemandfile" TargetMode="External"/><Relationship Id="rId81" Type="http://schemas.openxmlformats.org/officeDocument/2006/relationships/hyperlink" Target="https://www.linkedin.com/learning/leaders-eat-last?trk=ondemandfile" TargetMode="External"/><Relationship Id="rId73" Type="http://schemas.openxmlformats.org/officeDocument/2006/relationships/hyperlink" Target="https://www.linkedin.com/learning/the-art-of-connection-7-relationship-building-skills-every-leader-needs-now-getabstract-summary?trk=ondemandfile" TargetMode="External"/><Relationship Id="rId72" Type="http://schemas.openxmlformats.org/officeDocument/2006/relationships/hyperlink" Target="https://www.linkedin.com/learning/becoming-a-manager-your-team-loves?trk=ondemandfile" TargetMode="External"/><Relationship Id="rId75" Type="http://schemas.openxmlformats.org/officeDocument/2006/relationships/hyperlink" Target="https://www.linkedin.com/learning/the-secret-what-great-leaders-know-and-do-getabstract-summary?trk=ondemandfile" TargetMode="External"/><Relationship Id="rId74" Type="http://schemas.openxmlformats.org/officeDocument/2006/relationships/hyperlink" Target="https://www.linkedin.com/learning/the-leader-s-guide-to-mindfulness-getabstract-summary?trk=ondemandfile" TargetMode="External"/><Relationship Id="rId77" Type="http://schemas.openxmlformats.org/officeDocument/2006/relationships/hyperlink" Target="https://www.linkedin.com/learning/advice-for-leaders-during-a-crisis-2022?trk=ondemandfile" TargetMode="External"/><Relationship Id="rId76" Type="http://schemas.openxmlformats.org/officeDocument/2006/relationships/hyperlink" Target="https://www.linkedin.com/learning/jeff-weiner-on-how-to-lead-like-a-ceo?trk=ondemandfile" TargetMode="External"/><Relationship Id="rId79" Type="http://schemas.openxmlformats.org/officeDocument/2006/relationships/hyperlink" Target="https://www.linkedin.com/learning/leading-with-stories-2?trk=ondemandfile" TargetMode="External"/><Relationship Id="rId78" Type="http://schemas.openxmlformats.org/officeDocument/2006/relationships/hyperlink" Target="https://www.linkedin.com/learning/how-leaders-can-connect-empathy-and-results?trk=ondemandfile" TargetMode="External"/><Relationship Id="rId71" Type="http://schemas.openxmlformats.org/officeDocument/2006/relationships/hyperlink" Target="https://www.linkedin.com/learning/body-language-for-leaders-2?trk=ondemandfile" TargetMode="External"/><Relationship Id="rId70" Type="http://schemas.openxmlformats.org/officeDocument/2006/relationships/hyperlink" Target="https://www.linkedin.com/learning/leading-inclusive-teams?trk=ondemandfile" TargetMode="External"/><Relationship Id="rId62" Type="http://schemas.openxmlformats.org/officeDocument/2006/relationships/hyperlink" Target="https://www.linkedin.com/learning/key-mental-shifts-for-servant-leadership?trk=ondemandfile" TargetMode="External"/><Relationship Id="rId61" Type="http://schemas.openxmlformats.org/officeDocument/2006/relationships/hyperlink" Target="https://www.linkedin.com/learning/developing-assertive-leadership?trk=ondemandfile" TargetMode="External"/><Relationship Id="rId64" Type="http://schemas.openxmlformats.org/officeDocument/2006/relationships/hyperlink" Target="https://www.linkedin.com/learning/making-more-impact-as-a-middle-manager?trk=ondemandfile" TargetMode="External"/><Relationship Id="rId63" Type="http://schemas.openxmlformats.org/officeDocument/2006/relationships/hyperlink" Target="https://www.linkedin.com/learning/10-mistakes-leaders-should-avoid?trk=ondemandfile" TargetMode="External"/><Relationship Id="rId66" Type="http://schemas.openxmlformats.org/officeDocument/2006/relationships/hyperlink" Target="https://www.linkedin.com/learning/developing-credibility-as-a-leader?trk=ondemandfile" TargetMode="External"/><Relationship Id="rId65" Type="http://schemas.openxmlformats.org/officeDocument/2006/relationships/hyperlink" Target="https://www.linkedin.com/learning/how-to-build-credibility-as-a-leader?trk=ondemandfile" TargetMode="External"/><Relationship Id="rId68" Type="http://schemas.openxmlformats.org/officeDocument/2006/relationships/hyperlink" Target="https://www.linkedin.com/learning/leading-at-a-distance?trk=ondemandfile" TargetMode="External"/><Relationship Id="rId67" Type="http://schemas.openxmlformats.org/officeDocument/2006/relationships/hyperlink" Target="https://www.linkedin.com/learning/leading-with-emotional-intelligence-2018?trk=ondemandfile" TargetMode="External"/><Relationship Id="rId60" Type="http://schemas.openxmlformats.org/officeDocument/2006/relationships/hyperlink" Target="https://www.linkedin.com/learning/leadership-foundations-4?trk=ondemandfile" TargetMode="External"/><Relationship Id="rId69" Type="http://schemas.openxmlformats.org/officeDocument/2006/relationships/hyperlink" Target="https://www.linkedin.com/learning/leading-in-government?trk=ondemandfile" TargetMode="External"/><Relationship Id="rId51" Type="http://schemas.openxmlformats.org/officeDocument/2006/relationships/hyperlink" Target="https://www.linkedin.com/learning/humble-leadership-the-power-of-relationships-openness-and-trust-getabstract-summary?trk=ondemandfile" TargetMode="External"/><Relationship Id="rId50" Type="http://schemas.openxmlformats.org/officeDocument/2006/relationships/hyperlink" Target="https://www.linkedin.com/learning/navigating-environmental-sustainability-a-guide-for-leaders?trk=ondemandfile" TargetMode="External"/><Relationship Id="rId53" Type="http://schemas.openxmlformats.org/officeDocument/2006/relationships/hyperlink" Target="https://www.linkedin.com/learning/ken-blanchard-on-servant-leadership?trk=ondemandfile" TargetMode="External"/><Relationship Id="rId52" Type="http://schemas.openxmlformats.org/officeDocument/2006/relationships/hyperlink" Target="https://www.linkedin.com/learning/futures-centered-design?trk=ondemandfile" TargetMode="External"/><Relationship Id="rId55" Type="http://schemas.openxmlformats.org/officeDocument/2006/relationships/hyperlink" Target="https://www.linkedin.com/learning/communicating-in-the-lan-guage-of-leadership?trk=ondemandfile" TargetMode="External"/><Relationship Id="rId54" Type="http://schemas.openxmlformats.org/officeDocument/2006/relationships/hyperlink" Target="https://www.linkedin.com/learning/productive-leadership?trk=ondemandfile" TargetMode="External"/><Relationship Id="rId57" Type="http://schemas.openxmlformats.org/officeDocument/2006/relationships/hyperlink" Target="https://www.linkedin.com/learning/emerging-leader-foundations?trk=ondemandfile" TargetMode="External"/><Relationship Id="rId56" Type="http://schemas.openxmlformats.org/officeDocument/2006/relationships/hyperlink" Target="https://www.linkedin.com/learning/leading-with-fearless-mindfulness?trk=ondemandfile" TargetMode="External"/><Relationship Id="rId59" Type="http://schemas.openxmlformats.org/officeDocument/2006/relationships/hyperlink" Target="https://www.linkedin.com/learning/leadership-practical-skills?trk=ondemandfile" TargetMode="External"/><Relationship Id="rId58" Type="http://schemas.openxmlformats.org/officeDocument/2006/relationships/hyperlink" Target="https://www.linkedin.com/learning/leadership-foundations-leadership-styles-and-models?trk=ondemandfile" TargetMode="External"/><Relationship Id="rId95" Type="http://schemas.openxmlformats.org/officeDocument/2006/relationships/hyperlink" Target="https://www.linkedin.com/learning/managing-skills-for-remote-leaders?trk=ondemandfile" TargetMode="External"/><Relationship Id="rId94" Type="http://schemas.openxmlformats.org/officeDocument/2006/relationships/hyperlink" Target="https://www.linkedin.com/learning/lessons-in-enlightened-leadership?trk=ondemandfile" TargetMode="External"/><Relationship Id="rId97" Type="http://schemas.openxmlformats.org/officeDocument/2006/relationships/hyperlink" Target="https://www.linkedin.com/learning/mulitpliers?trk=ondemandfile" TargetMode="External"/><Relationship Id="rId96" Type="http://schemas.openxmlformats.org/officeDocument/2006/relationships/hyperlink" Target="https://www.linkedin.com/learning/leadership-through-feedback?trk=ondemandfile" TargetMode="External"/><Relationship Id="rId99" Type="http://schemas.openxmlformats.org/officeDocument/2006/relationships/hyperlink" Target="https://www.linkedin.com/learning/leadership-blindspots-revision-2021?trk=ondemandfile" TargetMode="External"/><Relationship Id="rId98" Type="http://schemas.openxmlformats.org/officeDocument/2006/relationships/hyperlink" Target="https://www.linkedin.com/learning/leading-and-motivating-different-personalities?trk=ondemandfile" TargetMode="External"/><Relationship Id="rId91" Type="http://schemas.openxmlformats.org/officeDocument/2006/relationships/hyperlink" Target="https://www.linkedin.com/learning/lead-like-a-boss?trk=ondemandfile" TargetMode="External"/><Relationship Id="rId90" Type="http://schemas.openxmlformats.org/officeDocument/2006/relationships/hyperlink" Target="https://www.linkedin.com/learning/coaching-skills-for-leaders-and-managers?trk=ondemandfile" TargetMode="External"/><Relationship Id="rId93" Type="http://schemas.openxmlformats.org/officeDocument/2006/relationships/hyperlink" Target="https://www.linkedin.com/learning/business-ethics-for-managers-and-leaders?trk=ondemandfile" TargetMode="External"/><Relationship Id="rId92" Type="http://schemas.openxmlformats.org/officeDocument/2006/relationships/hyperlink" Target="https://www.linkedin.com/learning/leading-effectively?trk=ondemandfile" TargetMode="External"/><Relationship Id="rId107" Type="http://schemas.openxmlformats.org/officeDocument/2006/relationships/hyperlink" Target="https://www.linkedin.com/learning/project-leadership?trk=ondemandfile" TargetMode="External"/><Relationship Id="rId106" Type="http://schemas.openxmlformats.org/officeDocument/2006/relationships/hyperlink" Target="https://www.linkedin.com/learning/leadership-fundamentals?trk=ondemandfile" TargetMode="External"/><Relationship Id="rId105" Type="http://schemas.openxmlformats.org/officeDocument/2006/relationships/hyperlink" Target="https://www.linkedin.com/learning/become-a-courageous-female-leader?trk=ondemandfile" TargetMode="External"/><Relationship Id="rId104" Type="http://schemas.openxmlformats.org/officeDocument/2006/relationships/hyperlink" Target="https://www.linkedin.com/learning/becoming-an-impactful-and-influential-leader?trk=ondemandfile" TargetMode="External"/><Relationship Id="rId109" Type="http://schemas.openxmlformats.org/officeDocument/2006/relationships/hyperlink" Target="https://www.linkedin.com/learning/preparing-to-lead-developing-mental-toughness-in-yourself?trk=ondemandfile" TargetMode="External"/><Relationship Id="rId108" Type="http://schemas.openxmlformats.org/officeDocument/2006/relationships/hyperlink" Target="https://www.linkedin.com/learning/inspirational-leadership-skills-practical-motivational-leadership?trk=ondemandfile" TargetMode="External"/><Relationship Id="rId103" Type="http://schemas.openxmlformats.org/officeDocument/2006/relationships/hyperlink" Target="https://www.linkedin.com/learning/leading-remote-projects-and-virtual-teams?trk=ondemandfile" TargetMode="External"/><Relationship Id="rId102" Type="http://schemas.openxmlformats.org/officeDocument/2006/relationships/hyperlink" Target="https://www.linkedin.com/learning/mindful-leadership?trk=ondemandfile" TargetMode="External"/><Relationship Id="rId101" Type="http://schemas.openxmlformats.org/officeDocument/2006/relationships/hyperlink" Target="https://www.linkedin.com/learning/leadership-presence-in-action?trk=contentmappingfile" TargetMode="External"/><Relationship Id="rId100" Type="http://schemas.openxmlformats.org/officeDocument/2006/relationships/hyperlink" Target="https://www.linkedin.com/learning/leading-with-empathy?trk=ondemandfile" TargetMode="External"/><Relationship Id="rId121" Type="http://schemas.openxmlformats.org/officeDocument/2006/relationships/hyperlink" Target="https://www.linkedin.com/learning/mastering-self-leadership?trk=ondemandfile" TargetMode="External"/><Relationship Id="rId120" Type="http://schemas.openxmlformats.org/officeDocument/2006/relationships/hyperlink" Target="https://www.linkedin.com/learning/leadership-strategies-for-women?trk=ondemandfile" TargetMode="External"/><Relationship Id="rId125" Type="http://schemas.openxmlformats.org/officeDocument/2006/relationships/drawing" Target="../drawings/drawing19.xml"/><Relationship Id="rId124" Type="http://schemas.openxmlformats.org/officeDocument/2006/relationships/hyperlink" Target="https://www.linkedin.com/learning/leadership-in-tech?trk=ondemandfile" TargetMode="External"/><Relationship Id="rId123" Type="http://schemas.openxmlformats.org/officeDocument/2006/relationships/hyperlink" Target="https://www.linkedin.com/learning/leading-in-crisis?trk=ondemandfile" TargetMode="External"/><Relationship Id="rId122" Type="http://schemas.openxmlformats.org/officeDocument/2006/relationships/hyperlink" Target="https://www.linkedin.com/learning/listen-to-lead?trk=ondemandfile" TargetMode="External"/><Relationship Id="rId118" Type="http://schemas.openxmlformats.org/officeDocument/2006/relationships/hyperlink" Target="https://www.linkedin.com/learning/leading-projects?trk=ondemandfile" TargetMode="External"/><Relationship Id="rId117" Type="http://schemas.openxmlformats.org/officeDocument/2006/relationships/hyperlink" Target="https://www.linkedin.com/learning/leadership-skills-for-the-future?trk=ondemandfile" TargetMode="External"/><Relationship Id="rId116" Type="http://schemas.openxmlformats.org/officeDocument/2006/relationships/hyperlink" Target="https://www.linkedin.com/learning/fostering-belonging-as-a-leader?trk=ondemandfile" TargetMode="External"/><Relationship Id="rId115" Type="http://schemas.openxmlformats.org/officeDocument/2006/relationships/hyperlink" Target="https://www.linkedin.com/learning/leading-in-uncertain-times?trk=ondemandfile" TargetMode="External"/><Relationship Id="rId119" Type="http://schemas.openxmlformats.org/officeDocument/2006/relationships/hyperlink" Target="https://www.linkedin.com/learning/how-leaders-can-motivate-by-creating-meaning?trk=ondemandfile" TargetMode="External"/><Relationship Id="rId110" Type="http://schemas.openxmlformats.org/officeDocument/2006/relationships/hyperlink" Target="https://www.linkedin.com/learning/just-ask-todd-dewett-2020?trk=ondemandfile" TargetMode="External"/><Relationship Id="rId114" Type="http://schemas.openxmlformats.org/officeDocument/2006/relationships/hyperlink" Target="https://www.linkedin.com/learning/leadership-mindsets?trk=ondemandfile" TargetMode="External"/><Relationship Id="rId113" Type="http://schemas.openxmlformats.org/officeDocument/2006/relationships/hyperlink" Target="https://www.linkedin.com/learning/building-your-visibility-as-a-leader?trk=ondemandfile" TargetMode="External"/><Relationship Id="rId112" Type="http://schemas.openxmlformats.org/officeDocument/2006/relationships/hyperlink" Target="https://www.linkedin.com/learning/leading-with-kindness-and-strength?trk=ondemandfile" TargetMode="External"/><Relationship Id="rId111" Type="http://schemas.openxmlformats.org/officeDocument/2006/relationships/hyperlink" Target="https://www.linkedin.com/learning/demonstrating-accountability-as-a-leader?trk=ondemandfil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linkedin.com/learning/paths/building-accountability-and-becoming-results-oriented" TargetMode="External"/><Relationship Id="rId2" Type="http://schemas.openxmlformats.org/officeDocument/2006/relationships/hyperlink" Target="https://www.linkedin.com/learning/paths/manage-change-and-develop-your-adaptability-skills" TargetMode="External"/><Relationship Id="rId3" Type="http://schemas.openxmlformats.org/officeDocument/2006/relationships/hyperlink" Target="https://www.linkedin.com/learning/paths/change-management-during-the-great-reshuffle" TargetMode="External"/><Relationship Id="rId4" Type="http://schemas.openxmlformats.org/officeDocument/2006/relationships/hyperlink" Target="https://www.linkedin.com/learning/paths/building-and-managing-effective-teams" TargetMode="External"/><Relationship Id="rId9" Type="http://schemas.openxmlformats.org/officeDocument/2006/relationships/hyperlink" Target="https://www.linkedin.com/learning/paths/develop-your-creative-thinking-and-innovation-skills" TargetMode="External"/><Relationship Id="rId5" Type="http://schemas.openxmlformats.org/officeDocument/2006/relationships/hyperlink" Target="https://www.linkedin.com/learning/paths/building-trust-and-collaborating-with-others-2" TargetMode="External"/><Relationship Id="rId6" Type="http://schemas.openxmlformats.org/officeDocument/2006/relationships/hyperlink" Target="https://www.linkedin.com/learning/paths/develop-your-communication-skills-and-interpersonal-influence" TargetMode="External"/><Relationship Id="rId7" Type="http://schemas.openxmlformats.org/officeDocument/2006/relationships/hyperlink" Target="https://www.linkedin.com/learning/paths/develop-conflict-management-and-resolution-skills" TargetMode="External"/><Relationship Id="rId8" Type="http://schemas.openxmlformats.org/officeDocument/2006/relationships/hyperlink" Target="https://www.linkedin.com/learning/paths/develop-your-marketing-skills" TargetMode="External"/><Relationship Id="rId31" Type="http://schemas.openxmlformats.org/officeDocument/2006/relationships/drawing" Target="../drawings/drawing4.xml"/><Relationship Id="rId30" Type="http://schemas.openxmlformats.org/officeDocument/2006/relationships/hyperlink" Target="https://www.linkedin.com/learning/paths/become-a-leader" TargetMode="External"/><Relationship Id="rId20" Type="http://schemas.openxmlformats.org/officeDocument/2006/relationships/hyperlink" Target="https://www.linkedin.com/learning/paths/improve-processes-and-deliver-operational-excellence" TargetMode="External"/><Relationship Id="rId22" Type="http://schemas.openxmlformats.org/officeDocument/2006/relationships/hyperlink" Target="https://www.linkedin.com/learning/paths/develop-your-project-management-skills" TargetMode="External"/><Relationship Id="rId21" Type="http://schemas.openxmlformats.org/officeDocument/2006/relationships/hyperlink" Target="https://www.linkedin.com/learning/paths/develop-your-presentation-skills" TargetMode="External"/><Relationship Id="rId24" Type="http://schemas.openxmlformats.org/officeDocument/2006/relationships/hyperlink" Target="https://www.linkedin.com/learning/paths/develop-your-strategic-planning-skills" TargetMode="External"/><Relationship Id="rId23" Type="http://schemas.openxmlformats.org/officeDocument/2006/relationships/hyperlink" Target="https://www.linkedin.com/learning/paths/develop-your-sales-knowledge-and-skills" TargetMode="External"/><Relationship Id="rId26" Type="http://schemas.openxmlformats.org/officeDocument/2006/relationships/hyperlink" Target="https://www.linkedin.com/learning/paths/develop-motivate-and-retain-employees" TargetMode="External"/><Relationship Id="rId25" Type="http://schemas.openxmlformats.org/officeDocument/2006/relationships/hyperlink" Target="https://www.linkedin.com/learning/paths/recruit-and-maximize-talent" TargetMode="External"/><Relationship Id="rId28" Type="http://schemas.openxmlformats.org/officeDocument/2006/relationships/hyperlink" Target="https://www.linkedin.com/learning/paths/develop-your-writing-skills" TargetMode="External"/><Relationship Id="rId27" Type="http://schemas.openxmlformats.org/officeDocument/2006/relationships/hyperlink" Target="https://www.linkedin.com/learning/paths/diversity-inclusion-and-belonging-for-all" TargetMode="External"/><Relationship Id="rId29" Type="http://schemas.openxmlformats.org/officeDocument/2006/relationships/hyperlink" Target="https://www.linkedin.com/learning/paths/support-your-mental-health-during-challenging-times" TargetMode="External"/><Relationship Id="rId11" Type="http://schemas.openxmlformats.org/officeDocument/2006/relationships/hyperlink" Target="https://www.linkedin.com/learning/paths/develop-your-customer-service-skills" TargetMode="External"/><Relationship Id="rId10" Type="http://schemas.openxmlformats.org/officeDocument/2006/relationships/hyperlink" Target="https://www.linkedin.com/learning/paths/develop-critical-thinking-decision-making-and-problem-solving-skills" TargetMode="External"/><Relationship Id="rId13" Type="http://schemas.openxmlformats.org/officeDocument/2006/relationships/hyperlink" Target="https://www.linkedin.com/learning/paths/develop-your-course-design-and-instructional-skills" TargetMode="External"/><Relationship Id="rId12" Type="http://schemas.openxmlformats.org/officeDocument/2006/relationships/hyperlink" Target="https://www.linkedin.com/learning/paths/develop-your-data-analysis-skills" TargetMode="External"/><Relationship Id="rId15" Type="http://schemas.openxmlformats.org/officeDocument/2006/relationships/hyperlink" Target="https://www.linkedin.com/learning/paths/develop-your-hr-management-and-leadership-skills" TargetMode="External"/><Relationship Id="rId14" Type="http://schemas.openxmlformats.org/officeDocument/2006/relationships/hyperlink" Target="https://www.linkedin.com/learning/paths/develop-your-finance-and-accounting-skills" TargetMode="External"/><Relationship Id="rId17" Type="http://schemas.openxmlformats.org/officeDocument/2006/relationships/hyperlink" Target="https://www.linkedin.com/learning/paths/leading-during-times-of-change" TargetMode="External"/><Relationship Id="rId16" Type="http://schemas.openxmlformats.org/officeDocument/2006/relationships/hyperlink" Target="https://www.linkedin.com/learning/paths/master-the-fundamentals-of-ai-and-machine-learning" TargetMode="External"/><Relationship Id="rId19" Type="http://schemas.openxmlformats.org/officeDocument/2006/relationships/hyperlink" Target="https://www.linkedin.com/learning/paths/managing-others-effectively-3" TargetMode="External"/><Relationship Id="rId18" Type="http://schemas.openxmlformats.org/officeDocument/2006/relationships/hyperlink" Target="https://www.linkedin.com/learning/paths/leading-others-effectively"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linkedin.com/learning/good-to-great?trk=ondemandfile" TargetMode="External"/><Relationship Id="rId2" Type="http://schemas.openxmlformats.org/officeDocument/2006/relationships/hyperlink" Target="https://www.linkedin.com/learning/paths/building-accountability-and-becoming-results-oriented?trk=ondemandfile" TargetMode="External"/><Relationship Id="rId3" Type="http://schemas.openxmlformats.org/officeDocument/2006/relationships/hyperlink" Target="https://www.linkedin.com/learning/creating-a-culture-of-change?trk=ondemandfile" TargetMode="External"/><Relationship Id="rId4" Type="http://schemas.openxmlformats.org/officeDocument/2006/relationships/hyperlink" Target="https://www.linkedin.com/learning/paths/developing-resilience-and-grit?trk=ondemandfile" TargetMode="External"/><Relationship Id="rId9" Type="http://schemas.openxmlformats.org/officeDocument/2006/relationships/hyperlink" Target="https://www.linkedin.com/learning/communicating-to-drive-people-to-take-action?trk=ondemandfile" TargetMode="External"/><Relationship Id="rId5" Type="http://schemas.openxmlformats.org/officeDocument/2006/relationships/hyperlink" Target="https://www.linkedin.com/learning/prioritizing-effectively-as-a-leader?trk=ondemandfile" TargetMode="External"/><Relationship Id="rId6" Type="http://schemas.openxmlformats.org/officeDocument/2006/relationships/hyperlink" Target="https://www.linkedin.com/learning/paths/become-a-high-performer-2?trk=ondemandfile" TargetMode="External"/><Relationship Id="rId7" Type="http://schemas.openxmlformats.org/officeDocument/2006/relationships/hyperlink" Target="https://www.linkedin.com/learning/the-new-rules-of-work?trk=ondemandfile" TargetMode="External"/><Relationship Id="rId8" Type="http://schemas.openxmlformats.org/officeDocument/2006/relationships/hyperlink" Target="https://www.linkedin.com/learning/paths/managing-change?trk=ondemandfile" TargetMode="External"/><Relationship Id="rId40" Type="http://schemas.openxmlformats.org/officeDocument/2006/relationships/hyperlink" Target="https://www.linkedin.com/learning/solving-business-problems?trk=ondemandfile" TargetMode="External"/><Relationship Id="rId42" Type="http://schemas.openxmlformats.org/officeDocument/2006/relationships/hyperlink" Target="https://www.linkedin.com/learning/proven-tips-for-managing-your-time?trk=ondemandfile" TargetMode="External"/><Relationship Id="rId41" Type="http://schemas.openxmlformats.org/officeDocument/2006/relationships/hyperlink" Target="https://www.linkedin.com/learning/building-the-resources-for-resilience?trk=ondemandfile" TargetMode="External"/><Relationship Id="rId44" Type="http://schemas.openxmlformats.org/officeDocument/2006/relationships/hyperlink" Target="https://www.linkedin.com/learning/time-management-tips-2019?trk=ondemandfile" TargetMode="External"/><Relationship Id="rId43" Type="http://schemas.openxmlformats.org/officeDocument/2006/relationships/hyperlink" Target="https://www.linkedin.com/learning/staying-positive-in-the-face-of-negativity?trk=ondemandfile" TargetMode="External"/><Relationship Id="rId46" Type="http://schemas.openxmlformats.org/officeDocument/2006/relationships/hyperlink" Target="https://www.linkedin.com/learning/time-management-tips-teamwork?trk=ondemandfile" TargetMode="External"/><Relationship Id="rId45" Type="http://schemas.openxmlformats.org/officeDocument/2006/relationships/hyperlink" Target="https://www.linkedin.com/learning/improve-cognitive-flexibility-at-work?trk=ondemandfile" TargetMode="External"/><Relationship Id="rId48" Type="http://schemas.openxmlformats.org/officeDocument/2006/relationships/hyperlink" Target="https://www.linkedin.com/learning/time-management-tips-following-through?trk=ondemandfile" TargetMode="External"/><Relationship Id="rId47" Type="http://schemas.openxmlformats.org/officeDocument/2006/relationships/hyperlink" Target="https://www.linkedin.com/learning/adaptive-leadership-for-vuca-challenges?trk=ondemandfile" TargetMode="External"/><Relationship Id="rId49" Type="http://schemas.openxmlformats.org/officeDocument/2006/relationships/hyperlink" Target="https://www.linkedin.com/learning/insights-on-working-from-home-s-largest-ever-experiment?trk=ondemandfile" TargetMode="External"/><Relationship Id="rId31" Type="http://schemas.openxmlformats.org/officeDocument/2006/relationships/hyperlink" Target="https://www.linkedin.com/learning/unleash-your-team-s-creativity?trk=ondemandfile" TargetMode="External"/><Relationship Id="rId30" Type="http://schemas.openxmlformats.org/officeDocument/2006/relationships/hyperlink" Target="https://www.linkedin.com/learning/holding-your-team-accountable?trk=ondemandfile" TargetMode="External"/><Relationship Id="rId33" Type="http://schemas.openxmlformats.org/officeDocument/2006/relationships/hyperlink" Target="https://www.linkedin.com/learning/managing-organizational-change-for-managers?trk=ondemandfile" TargetMode="External"/><Relationship Id="rId32" Type="http://schemas.openxmlformats.org/officeDocument/2006/relationships/hyperlink" Target="https://www.linkedin.com/learning/demonstrating-accountability-as-a-leader?trk=ondemandfile" TargetMode="External"/><Relationship Id="rId35" Type="http://schemas.openxmlformats.org/officeDocument/2006/relationships/hyperlink" Target="https://www.linkedin.com/learning/developing-adaptability-as-a-manager?trk=ondemandfile" TargetMode="External"/><Relationship Id="rId34" Type="http://schemas.openxmlformats.org/officeDocument/2006/relationships/hyperlink" Target="https://www.linkedin.com/learning/be-more-productive-take-small-steps-have-big-goals?trk=ondemandfile" TargetMode="External"/><Relationship Id="rId37" Type="http://schemas.openxmlformats.org/officeDocument/2006/relationships/hyperlink" Target="https://www.linkedin.com/learning/leading-your-team-through-actionable-change?trk=ondemandfile" TargetMode="External"/><Relationship Id="rId36" Type="http://schemas.openxmlformats.org/officeDocument/2006/relationships/hyperlink" Target="https://www.linkedin.com/learning/developing-a-learning-mindset?trk=ondemandfile" TargetMode="External"/><Relationship Id="rId39" Type="http://schemas.openxmlformats.org/officeDocument/2006/relationships/hyperlink" Target="https://www.linkedin.com/learning/leading-in-the-moment?trk=ondemandfile" TargetMode="External"/><Relationship Id="rId38" Type="http://schemas.openxmlformats.org/officeDocument/2006/relationships/hyperlink" Target="https://www.linkedin.com/learning/holding-yourself-accountable?trk=ondemandfile" TargetMode="External"/><Relationship Id="rId20" Type="http://schemas.openxmlformats.org/officeDocument/2006/relationships/hyperlink" Target="https://www.linkedin.com/learning/strategic-focus-for-managers?trk=ondemandfile" TargetMode="External"/><Relationship Id="rId22" Type="http://schemas.openxmlformats.org/officeDocument/2006/relationships/hyperlink" Target="https://www.linkedin.com/learning/building-resilience-as-a-leader?trk=ondemandfile" TargetMode="External"/><Relationship Id="rId21" Type="http://schemas.openxmlformats.org/officeDocument/2006/relationships/hyperlink" Target="https://www.linkedin.com/learning/the-hard-thing-about-hard-things?trk=ondemandfile" TargetMode="External"/><Relationship Id="rId24" Type="http://schemas.openxmlformats.org/officeDocument/2006/relationships/hyperlink" Target="https://www.linkedin.com/learning/build-a-trustworthy-reputation?trk=ondemandfile" TargetMode="External"/><Relationship Id="rId23" Type="http://schemas.openxmlformats.org/officeDocument/2006/relationships/hyperlink" Target="https://www.linkedin.com/learning/coaching-your-team-from-uncertainty-to-action?trk=ondemandfile" TargetMode="External"/><Relationship Id="rId26" Type="http://schemas.openxmlformats.org/officeDocument/2006/relationships/hyperlink" Target="https://www.linkedin.com/learning/humane-productivity?trk=ondemandfile" TargetMode="External"/><Relationship Id="rId25" Type="http://schemas.openxmlformats.org/officeDocument/2006/relationships/hyperlink" Target="https://www.linkedin.com/learning/learning-agility?trk=ondemandfile" TargetMode="External"/><Relationship Id="rId28" Type="http://schemas.openxmlformats.org/officeDocument/2006/relationships/hyperlink" Target="https://www.linkedin.com/learning/how-to-build-virtual-accountability?trk=ondemandfile" TargetMode="External"/><Relationship Id="rId27" Type="http://schemas.openxmlformats.org/officeDocument/2006/relationships/hyperlink" Target="https://www.linkedin.com/learning/organizational-learning-and-development?trk=ondemandfile" TargetMode="External"/><Relationship Id="rId29" Type="http://schemas.openxmlformats.org/officeDocument/2006/relationships/hyperlink" Target="https://www.linkedin.com/learning/communicating-in-times-of-change?trk=ondemandfile" TargetMode="External"/><Relationship Id="rId11" Type="http://schemas.openxmlformats.org/officeDocument/2006/relationships/hyperlink" Target="https://www.linkedin.com/learning/agile-software-development-creating-an-agile-culture?trk=ondemandfile" TargetMode="External"/><Relationship Id="rId10" Type="http://schemas.openxmlformats.org/officeDocument/2006/relationships/hyperlink" Target="https://www.linkedin.com/learning/paths/become-a-successful-remote-worker?trk=ondemandfile" TargetMode="External"/><Relationship Id="rId13" Type="http://schemas.openxmlformats.org/officeDocument/2006/relationships/hyperlink" Target="https://www.linkedin.com/learning/goal-setting-objectives-and-key-results-okrs?trk=ondemandfile" TargetMode="External"/><Relationship Id="rId12" Type="http://schemas.openxmlformats.org/officeDocument/2006/relationships/hyperlink" Target="https://www.linkedin.com/learning/paths/manage-change-and-develop-your-adaptability-skills?trk=ondemandfile" TargetMode="External"/><Relationship Id="rId15" Type="http://schemas.openxmlformats.org/officeDocument/2006/relationships/hyperlink" Target="https://www.linkedin.com/learning/aaron-dignan-on-transformational-change?trk=ondemandfile" TargetMode="External"/><Relationship Id="rId14" Type="http://schemas.openxmlformats.org/officeDocument/2006/relationships/hyperlink" Target="https://www.linkedin.com/learning/paths/improve-your-organizational-skills?trk=ondemandfile" TargetMode="External"/><Relationship Id="rId17" Type="http://schemas.openxmlformats.org/officeDocument/2006/relationships/hyperlink" Target="https://www.linkedin.com/learning/learning-agility?trk=ondemandfile" TargetMode="External"/><Relationship Id="rId16" Type="http://schemas.openxmlformats.org/officeDocument/2006/relationships/hyperlink" Target="https://www.linkedin.com/learning/paths/master-in-demand-professional-soft-skills?trk=ondemandfile" TargetMode="External"/><Relationship Id="rId19" Type="http://schemas.openxmlformats.org/officeDocument/2006/relationships/hyperlink" Target="https://www.linkedin.com/learning/managing-globally?trk=ondemandfile" TargetMode="External"/><Relationship Id="rId18" Type="http://schemas.openxmlformats.org/officeDocument/2006/relationships/hyperlink" Target="https://www.linkedin.com/learning/paths/remote-working-setting-yourself-and-your-teams-up-for-success?trk=ondemandfile" TargetMode="External"/><Relationship Id="rId84" Type="http://schemas.openxmlformats.org/officeDocument/2006/relationships/hyperlink" Target="https://www.linkedin.com/learning/prioritizing-tasks-for-maximum-impact?trk=ondemandfile" TargetMode="External"/><Relationship Id="rId83" Type="http://schemas.openxmlformats.org/officeDocument/2006/relationships/hyperlink" Target="https://www.linkedin.com/learning/harnessing-change-to-unleash-your-potential?trk=ondemandfile" TargetMode="External"/><Relationship Id="rId86" Type="http://schemas.openxmlformats.org/officeDocument/2006/relationships/hyperlink" Target="https://www.linkedin.com/learning/the-five-conversations-that-deliver-accountability-and-performance?trk=ondemandfile" TargetMode="External"/><Relationship Id="rId85" Type="http://schemas.openxmlformats.org/officeDocument/2006/relationships/hyperlink" Target="https://www.linkedin.com/learning/embracing-times-of-uncertainty?trk=ondemandfile" TargetMode="External"/><Relationship Id="rId88" Type="http://schemas.openxmlformats.org/officeDocument/2006/relationships/hyperlink" Target="https://www.linkedin.com/learning/time-management-for-busy-people?trk=ondemandfile" TargetMode="External"/><Relationship Id="rId87" Type="http://schemas.openxmlformats.org/officeDocument/2006/relationships/hyperlink" Target="https://www.linkedin.com/learning/preparing-to-lead-developing-mental-toughness-in-yourself?trk=ondemandfile" TargetMode="External"/><Relationship Id="rId89" Type="http://schemas.openxmlformats.org/officeDocument/2006/relationships/hyperlink" Target="https://www.linkedin.com/learning/managing-employee-stress-for-positive-change?trk=ondemandfile" TargetMode="External"/><Relationship Id="rId80" Type="http://schemas.openxmlformats.org/officeDocument/2006/relationships/hyperlink" Target="https://www.linkedin.com/learning/dealing-with-disappointment-in-your-role?trk=ondemandfile" TargetMode="External"/><Relationship Id="rId82" Type="http://schemas.openxmlformats.org/officeDocument/2006/relationships/hyperlink" Target="https://www.linkedin.com/learning/unlocking-your-potential?trk=ondemandfile" TargetMode="External"/><Relationship Id="rId81" Type="http://schemas.openxmlformats.org/officeDocument/2006/relationships/hyperlink" Target="https://www.linkedin.com/learning/conquering-freak-outs-and-the-fear-of-failure?trk=ondemandfile" TargetMode="External"/><Relationship Id="rId73" Type="http://schemas.openxmlformats.org/officeDocument/2006/relationships/hyperlink" Target="https://www.linkedin.com/learning/adopting-the-habits-of-elite-performers?trk=ondemandfile" TargetMode="External"/><Relationship Id="rId72" Type="http://schemas.openxmlformats.org/officeDocument/2006/relationships/hyperlink" Target="https://www.linkedin.com/learning/subtle-shifts-in-thinking-for-tremendous-resilience?trk=ondemandfile" TargetMode="External"/><Relationship Id="rId75" Type="http://schemas.openxmlformats.org/officeDocument/2006/relationships/hyperlink" Target="https://www.linkedin.com/learning/how-to-use-rejection-to-your-advantage?trk=ondemandfile" TargetMode="External"/><Relationship Id="rId74" Type="http://schemas.openxmlformats.org/officeDocument/2006/relationships/hyperlink" Target="https://www.linkedin.com/learning/productivity-prioritizing-at-work?trk=ondemandfile" TargetMode="External"/><Relationship Id="rId77" Type="http://schemas.openxmlformats.org/officeDocument/2006/relationships/hyperlink" Target="https://www.linkedin.com/learning/simple-habits-for-complex-times-getabstract-summary?trk=ondemandfile" TargetMode="External"/><Relationship Id="rId76" Type="http://schemas.openxmlformats.org/officeDocument/2006/relationships/hyperlink" Target="https://www.linkedin.com/learning/creating-lasting-habits?trk=ondemandfile" TargetMode="External"/><Relationship Id="rId79" Type="http://schemas.openxmlformats.org/officeDocument/2006/relationships/hyperlink" Target="https://www.linkedin.com/learning/using-resilience-to-overcome-the-seemingly-impossible?trk=ondemandfile" TargetMode="External"/><Relationship Id="rId78" Type="http://schemas.openxmlformats.org/officeDocument/2006/relationships/hyperlink" Target="https://www.linkedin.com/learning/how-to-effectively-deliver-criticism?trk=ondemandfile" TargetMode="External"/><Relationship Id="rId71" Type="http://schemas.openxmlformats.org/officeDocument/2006/relationships/hyperlink" Target="https://www.linkedin.com/learning/creating-success-from-failures?trk=ondemandfile" TargetMode="External"/><Relationship Id="rId70" Type="http://schemas.openxmlformats.org/officeDocument/2006/relationships/hyperlink" Target="https://www.linkedin.com/learning/time-management-tips-communication?trk=ondemandfile" TargetMode="External"/><Relationship Id="rId62" Type="http://schemas.openxmlformats.org/officeDocument/2006/relationships/hyperlink" Target="https://www.linkedin.com/learning/15-secrets-successful-people-know-about-time-management-getabstract-summary?trk=ondemandfile" TargetMode="External"/><Relationship Id="rId61" Type="http://schemas.openxmlformats.org/officeDocument/2006/relationships/hyperlink" Target="https://www.linkedin.com/learning/get-un-stuck-from-a-career-rut?trk=ondemandfile" TargetMode="External"/><Relationship Id="rId64" Type="http://schemas.openxmlformats.org/officeDocument/2006/relationships/hyperlink" Target="https://www.linkedin.com/learning/how-to-slow-down-and-be-more-productive?trk=ondemandfile" TargetMode="External"/><Relationship Id="rId63" Type="http://schemas.openxmlformats.org/officeDocument/2006/relationships/hyperlink" Target="https://www.linkedin.com/learning/subtle-shifts-in-thinking-for-tremendous-resilience?trk=ondemandfile" TargetMode="External"/><Relationship Id="rId66" Type="http://schemas.openxmlformats.org/officeDocument/2006/relationships/hyperlink" Target="https://www.linkedin.com/learning/productivity-principles-to-make-time-for-what-s-important?trk=ondemandfile" TargetMode="External"/><Relationship Id="rId65" Type="http://schemas.openxmlformats.org/officeDocument/2006/relationships/hyperlink" Target="https://www.linkedin.com/learning/managing-self-doubt-to-tackle-bigger-challenges?trk=ondemandfile" TargetMode="External"/><Relationship Id="rId68" Type="http://schemas.openxmlformats.org/officeDocument/2006/relationships/hyperlink" Target="https://www.linkedin.com/learning/making-big-goals-achievable?trk=ondemandfile" TargetMode="External"/><Relationship Id="rId67" Type="http://schemas.openxmlformats.org/officeDocument/2006/relationships/hyperlink" Target="https://www.linkedin.com/learning/creating-flow?trk=ondemandfile" TargetMode="External"/><Relationship Id="rId60" Type="http://schemas.openxmlformats.org/officeDocument/2006/relationships/hyperlink" Target="https://www.linkedin.com/learning/building-a-better-to-do-list?trk=ondemandfile" TargetMode="External"/><Relationship Id="rId69" Type="http://schemas.openxmlformats.org/officeDocument/2006/relationships/hyperlink" Target="https://www.linkedin.com/learning/staying-organized-at-work-and-while-working-remotely?trk=ondemandfile" TargetMode="External"/><Relationship Id="rId51" Type="http://schemas.openxmlformats.org/officeDocument/2006/relationships/hyperlink" Target="https://www.linkedin.com/learning/how-to-slash-anxiety-and-keep-positivity-flowing?trk=ondemandfile" TargetMode="External"/><Relationship Id="rId50" Type="http://schemas.openxmlformats.org/officeDocument/2006/relationships/hyperlink" Target="https://www.linkedin.com/learning/productivity-tips-finding-your-rhythm?trk=ondemandfile" TargetMode="External"/><Relationship Id="rId53" Type="http://schemas.openxmlformats.org/officeDocument/2006/relationships/hyperlink" Target="https://www.linkedin.com/learning/negotiating-work-flexibility?trk=ondemandfile" TargetMode="External"/><Relationship Id="rId52" Type="http://schemas.openxmlformats.org/officeDocument/2006/relationships/hyperlink" Target="https://www.linkedin.com/learning/productivity-tips-using-technology?trk=ondemandfile" TargetMode="External"/><Relationship Id="rId55" Type="http://schemas.openxmlformats.org/officeDocument/2006/relationships/hyperlink" Target="https://www.linkedin.com/learning/developing-a-learning-mindset?trk=ondemandfile" TargetMode="External"/><Relationship Id="rId54" Type="http://schemas.openxmlformats.org/officeDocument/2006/relationships/hyperlink" Target="https://www.linkedin.com/learning/productivity-tips-finding-your-productive-mindset?trk=ondemandfile" TargetMode="External"/><Relationship Id="rId57" Type="http://schemas.openxmlformats.org/officeDocument/2006/relationships/hyperlink" Target="https://www.linkedin.com/learning/managing-stress-2019?trk=ondemandfile" TargetMode="External"/><Relationship Id="rId56" Type="http://schemas.openxmlformats.org/officeDocument/2006/relationships/hyperlink" Target="https://www.linkedin.com/learning/productivity-tips-setting-up-your-workplace?trk=ondemandfile" TargetMode="External"/><Relationship Id="rId59" Type="http://schemas.openxmlformats.org/officeDocument/2006/relationships/hyperlink" Target="https://www.linkedin.com/learning/avoiding-burnout-2019?trk=ondemandfile" TargetMode="External"/><Relationship Id="rId58" Type="http://schemas.openxmlformats.org/officeDocument/2006/relationships/hyperlink" Target="https://www.linkedin.com/learning/productivity-tips-taking-control-of-email?trk=ondemandfile" TargetMode="External"/><Relationship Id="rId95" Type="http://schemas.openxmlformats.org/officeDocument/2006/relationships/hyperlink" Target="https://www.linkedin.com/learning/enhancing-resilience?trk=ondemandfile" TargetMode="External"/><Relationship Id="rId94" Type="http://schemas.openxmlformats.org/officeDocument/2006/relationships/hyperlink" Target="https://www.linkedin.com/learning/powerful-prioritization-with-the-80-20-rule?trk=ondemandfile" TargetMode="External"/><Relationship Id="rId97" Type="http://schemas.openxmlformats.org/officeDocument/2006/relationships/hyperlink" Target="https://www.linkedin.com/learning/cultivating-a-growth-mindset?trk=ondemandfile" TargetMode="External"/><Relationship Id="rId96" Type="http://schemas.openxmlformats.org/officeDocument/2006/relationships/hyperlink" Target="https://www.linkedin.com/learning/overcoming-perfectionism?trk=ondemandfile" TargetMode="External"/><Relationship Id="rId99" Type="http://schemas.openxmlformats.org/officeDocument/2006/relationships/hyperlink" Target="https://www.linkedin.com/learning/delivering-results-effectively?trk=ondemandfile" TargetMode="External"/><Relationship Id="rId98" Type="http://schemas.openxmlformats.org/officeDocument/2006/relationships/hyperlink" Target="https://www.linkedin.com/learning/how-to-get-things-done-ahead-of-deadlines?trk=ondemandfile" TargetMode="External"/><Relationship Id="rId91" Type="http://schemas.openxmlformats.org/officeDocument/2006/relationships/hyperlink" Target="https://www.linkedin.com/learning/building-resilience?trk=ondemandfile" TargetMode="External"/><Relationship Id="rId90" Type="http://schemas.openxmlformats.org/officeDocument/2006/relationships/hyperlink" Target="https://www.linkedin.com/learning/how-to-organize-your-time-and-your-life?trk=ondemandfile" TargetMode="External"/><Relationship Id="rId93" Type="http://schemas.openxmlformats.org/officeDocument/2006/relationships/hyperlink" Target="https://www.linkedin.com/learning/learning-from-failure?trk=ondemandfile" TargetMode="External"/><Relationship Id="rId92" Type="http://schemas.openxmlformats.org/officeDocument/2006/relationships/hyperlink" Target="https://www.linkedin.com/learning/components-of-effective-learning?trk=ondemandfile" TargetMode="External"/><Relationship Id="rId143" Type="http://schemas.openxmlformats.org/officeDocument/2006/relationships/hyperlink" Target="https://www.linkedin.com/learning/high-performance-habits-blinkist-summary?trk=ondemandfile" TargetMode="External"/><Relationship Id="rId142" Type="http://schemas.openxmlformats.org/officeDocument/2006/relationships/hyperlink" Target="https://www.linkedin.com/learning/the-procrastination-cure-blinkist-summary?trk=ondemandfile" TargetMode="External"/><Relationship Id="rId141" Type="http://schemas.openxmlformats.org/officeDocument/2006/relationships/hyperlink" Target="https://www.linkedin.com/learning/the-three-secrets-to-effective-time-investment-blinkist-summary?trk=ondemandfile" TargetMode="External"/><Relationship Id="rId140" Type="http://schemas.openxmlformats.org/officeDocument/2006/relationships/hyperlink" Target="https://www.linkedin.com/learning/hyperfocus-blinkist-summary?trk=ondemandfile" TargetMode="External"/><Relationship Id="rId147" Type="http://schemas.openxmlformats.org/officeDocument/2006/relationships/drawing" Target="../drawings/drawing5.xml"/><Relationship Id="rId146" Type="http://schemas.openxmlformats.org/officeDocument/2006/relationships/hyperlink" Target="https://www.linkedin.com/learning/developing-resourcefulness?trk=ondemandfile" TargetMode="External"/><Relationship Id="rId145" Type="http://schemas.openxmlformats.org/officeDocument/2006/relationships/hyperlink" Target="https://www.linkedin.com/learning/time-management-fundamentals-14548057?trk=ondemandfile" TargetMode="External"/><Relationship Id="rId144" Type="http://schemas.openxmlformats.org/officeDocument/2006/relationships/hyperlink" Target="https://www.linkedin.com/learning/resilience-strategies-for-optimal-performance?trk=ondemandfile" TargetMode="External"/><Relationship Id="rId139" Type="http://schemas.openxmlformats.org/officeDocument/2006/relationships/hyperlink" Target="https://www.linkedin.com/learning/flexible-working-blinkist-summary?trk=ondemandfile" TargetMode="External"/><Relationship Id="rId138" Type="http://schemas.openxmlformats.org/officeDocument/2006/relationships/hyperlink" Target="https://www.linkedin.com/learning/habits-to-win-every-day?trk=ondemandfile" TargetMode="External"/><Relationship Id="rId137" Type="http://schemas.openxmlformats.org/officeDocument/2006/relationships/hyperlink" Target="https://www.linkedin.com/learning/habits-for-success?trk=ondemandfile" TargetMode="External"/><Relationship Id="rId132" Type="http://schemas.openxmlformats.org/officeDocument/2006/relationships/hyperlink" Target="https://www.linkedin.com/learning/asking-for-feedback-as-an-employee?trk=ondemandfile" TargetMode="External"/><Relationship Id="rId131" Type="http://schemas.openxmlformats.org/officeDocument/2006/relationships/hyperlink" Target="https://www.linkedin.com/learning/the-power-of-lists-to-get-stuff-done?trk=ondemandfile" TargetMode="External"/><Relationship Id="rId130" Type="http://schemas.openxmlformats.org/officeDocument/2006/relationships/hyperlink" Target="https://www.linkedin.com/learning/working-from-home-strategies-for-success?trk=ondemandfile" TargetMode="External"/><Relationship Id="rId136" Type="http://schemas.openxmlformats.org/officeDocument/2006/relationships/hyperlink" Target="https://www.linkedin.com/learning/managing-up-as-an-employee?trk=ondemandfile" TargetMode="External"/><Relationship Id="rId135" Type="http://schemas.openxmlformats.org/officeDocument/2006/relationships/hyperlink" Target="https://www.linkedin.com/learning/mastering-self-leadership?trk=ondemandfile" TargetMode="External"/><Relationship Id="rId134" Type="http://schemas.openxmlformats.org/officeDocument/2006/relationships/hyperlink" Target="https://www.linkedin.com/learning/how-to-motivate-yourself-to-do-what-s-most-important?trk=ondemandfile" TargetMode="External"/><Relationship Id="rId133" Type="http://schemas.openxmlformats.org/officeDocument/2006/relationships/hyperlink" Target="https://www.linkedin.com/learning/enhance-your-productivity-with-effective-note-taking?trk=ondemandfile" TargetMode="External"/><Relationship Id="rId107" Type="http://schemas.openxmlformats.org/officeDocument/2006/relationships/hyperlink" Target="https://www.linkedin.com/learning/balancing-work-and-life-as-a-work-from-home-parent?trk=ondemandfile" TargetMode="External"/><Relationship Id="rId106" Type="http://schemas.openxmlformats.org/officeDocument/2006/relationships/hyperlink" Target="https://www.linkedin.com/learning/focus-on-what-matters-and-minimize-distraction?trk=ondemandfile" TargetMode="External"/><Relationship Id="rId105" Type="http://schemas.openxmlformats.org/officeDocument/2006/relationships/hyperlink" Target="https://www.linkedin.com/learning/how-to-be-adaptable-as-an-employee?trk=ondemandfile" TargetMode="External"/><Relationship Id="rId104" Type="http://schemas.openxmlformats.org/officeDocument/2006/relationships/hyperlink" Target="https://www.linkedin.com/learning/how-to-manage-your-attention-and-your-priorities?trk=ondemandfile" TargetMode="External"/><Relationship Id="rId109" Type="http://schemas.openxmlformats.org/officeDocument/2006/relationships/hyperlink" Target="https://www.linkedin.com/learning/avoid-career-burnout?trk=ondemandfile" TargetMode="External"/><Relationship Id="rId108" Type="http://schemas.openxmlformats.org/officeDocument/2006/relationships/hyperlink" Target="https://www.linkedin.com/learning/learn-to-control-your-attention?trk=ondemandfile" TargetMode="External"/><Relationship Id="rId103" Type="http://schemas.openxmlformats.org/officeDocument/2006/relationships/hyperlink" Target="https://www.linkedin.com/learning/powerless-to-powerful-taking-control?trk=ondemandfile" TargetMode="External"/><Relationship Id="rId102" Type="http://schemas.openxmlformats.org/officeDocument/2006/relationships/hyperlink" Target="https://www.linkedin.com/learning/secrets-of-effective-prioritization?trk=ondemandfile" TargetMode="External"/><Relationship Id="rId101" Type="http://schemas.openxmlformats.org/officeDocument/2006/relationships/hyperlink" Target="https://www.linkedin.com/learning/embracing-change-2019?trk=ondemandfile" TargetMode="External"/><Relationship Id="rId100" Type="http://schemas.openxmlformats.org/officeDocument/2006/relationships/hyperlink" Target="https://www.linkedin.com/learning/the-surprising-upside-of-procrastination?trk=ondemandfile" TargetMode="External"/><Relationship Id="rId129" Type="http://schemas.openxmlformats.org/officeDocument/2006/relationships/hyperlink" Target="https://www.linkedin.com/learning/business-ethics-2?trk=ondemandfile" TargetMode="External"/><Relationship Id="rId128" Type="http://schemas.openxmlformats.org/officeDocument/2006/relationships/hyperlink" Target="https://www.linkedin.com/learning/balancing-work-and-life-as-a-work-from-home-parent?trk=ondemandfile" TargetMode="External"/><Relationship Id="rId127" Type="http://schemas.openxmlformats.org/officeDocument/2006/relationships/hyperlink" Target="https://www.linkedin.com/learning/improving-the-value-of-your-time?trk=ondemandfile" TargetMode="External"/><Relationship Id="rId126" Type="http://schemas.openxmlformats.org/officeDocument/2006/relationships/hyperlink" Target="https://www.linkedin.com/learning/what-to-do-when-there-s-too-much-to-do-getabstract-summary?trk=ondemandfile" TargetMode="External"/><Relationship Id="rId121" Type="http://schemas.openxmlformats.org/officeDocument/2006/relationships/hyperlink" Target="https://www.linkedin.com/learning/cultivating-mental-agility?trk=ondemandfile" TargetMode="External"/><Relationship Id="rId120" Type="http://schemas.openxmlformats.org/officeDocument/2006/relationships/hyperlink" Target="https://www.linkedin.com/learning/delivering-results-effectively?trk=ondemandfile" TargetMode="External"/><Relationship Id="rId125" Type="http://schemas.openxmlformats.org/officeDocument/2006/relationships/hyperlink" Target="https://www.linkedin.com/learning/happy-accidents-the-transformative-power-of-yes-and-at-work-and-in-life-getabstract-summary?trk=ondemandfile" TargetMode="External"/><Relationship Id="rId124" Type="http://schemas.openxmlformats.org/officeDocument/2006/relationships/hyperlink" Target="https://www.linkedin.com/learning/prioritizing-your-tasks?trk=ondemandfile" TargetMode="External"/><Relationship Id="rId123" Type="http://schemas.openxmlformats.org/officeDocument/2006/relationships/hyperlink" Target="https://www.linkedin.com/learning/powerless-to-powerful-taking-control?trk=ondemandfile" TargetMode="External"/><Relationship Id="rId122" Type="http://schemas.openxmlformats.org/officeDocument/2006/relationships/hyperlink" Target="https://www.linkedin.com/learning/enhancing-resilience?trk=ondemandfile" TargetMode="External"/><Relationship Id="rId118" Type="http://schemas.openxmlformats.org/officeDocument/2006/relationships/hyperlink" Target="https://www.linkedin.com/learning/building-resilience?trk=ondemandfile" TargetMode="External"/><Relationship Id="rId117" Type="http://schemas.openxmlformats.org/officeDocument/2006/relationships/hyperlink" Target="https://www.linkedin.com/learning/reshuffle-a-special-series-on-the-new-world-of-work?trk=ondemandfile" TargetMode="External"/><Relationship Id="rId116" Type="http://schemas.openxmlformats.org/officeDocument/2006/relationships/hyperlink" Target="https://www.linkedin.com/learning/overcome-overthinking?trk=ondemandfile" TargetMode="External"/><Relationship Id="rId115" Type="http://schemas.openxmlformats.org/officeDocument/2006/relationships/hyperlink" Target="https://www.linkedin.com/learning/reframing-the-power-of-changing-your-perspective?trk=ondemandfile" TargetMode="External"/><Relationship Id="rId119" Type="http://schemas.openxmlformats.org/officeDocument/2006/relationships/hyperlink" Target="https://www.linkedin.com/learning/adaptive-project-leadership?trk=ondemandfile" TargetMode="External"/><Relationship Id="rId110" Type="http://schemas.openxmlformats.org/officeDocument/2006/relationships/hyperlink" Target="https://www.linkedin.com/learning/creating-behavioral-change-that-lasts?trk=ondemandfile" TargetMode="External"/><Relationship Id="rId114" Type="http://schemas.openxmlformats.org/officeDocument/2006/relationships/hyperlink" Target="https://www.linkedin.com/learning/mixtape-learning-highlights-on-personal-effectiveness?trk=ondemandfile" TargetMode="External"/><Relationship Id="rId113" Type="http://schemas.openxmlformats.org/officeDocument/2006/relationships/hyperlink" Target="https://www.linkedin.com/learning/enhance-productivity-in-a-hybrid-work-environment?trk=ondemandfile" TargetMode="External"/><Relationship Id="rId112" Type="http://schemas.openxmlformats.org/officeDocument/2006/relationships/hyperlink" Target="https://www.linkedin.com/learning/get-more-done-in-less-time?trk=ondemandfile" TargetMode="External"/><Relationship Id="rId111" Type="http://schemas.openxmlformats.org/officeDocument/2006/relationships/hyperlink" Target="https://www.linkedin.com/learning/working-from-home-strategies-for-success?trk=ondemandfile"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linkedin.com/learning/cmo-foundations-creating-a-marketing-culture?trk=ondemandfile" TargetMode="External"/><Relationship Id="rId2" Type="http://schemas.openxmlformats.org/officeDocument/2006/relationships/hyperlink" Target="https://www.linkedin.com/learning/paths/build-a-company-learning-and-development-program?trk=ondemandfile" TargetMode="External"/><Relationship Id="rId3" Type="http://schemas.openxmlformats.org/officeDocument/2006/relationships/hyperlink" Target="https://www.linkedin.com/learning/inclusive-leadership?trk=ondemandfile" TargetMode="External"/><Relationship Id="rId4" Type="http://schemas.openxmlformats.org/officeDocument/2006/relationships/hyperlink" Target="https://www.linkedin.com/learning/paths/advance-your-skills-as-an-individual-contributor?trk=ondemandfile" TargetMode="External"/><Relationship Id="rId9" Type="http://schemas.openxmlformats.org/officeDocument/2006/relationships/hyperlink" Target="https://www.linkedin.com/learning/reid-hoffman-and-chris-yeh-on-creating-an-alliance-with-employees?trk=ondemandfile" TargetMode="External"/><Relationship Id="rId5" Type="http://schemas.openxmlformats.org/officeDocument/2006/relationships/hyperlink" Target="https://www.linkedin.com/learning/the-new-rules-of-work?trk=ondemandfile" TargetMode="External"/><Relationship Id="rId6" Type="http://schemas.openxmlformats.org/officeDocument/2006/relationships/hyperlink" Target="https://www.linkedin.com/learning/paths/build-and-manage-effective-teams?trk=ondemandfile" TargetMode="External"/><Relationship Id="rId7" Type="http://schemas.openxmlformats.org/officeDocument/2006/relationships/hyperlink" Target="https://www.linkedin.com/learning/creating-a-culture-of-collaboration?trk=ondemandfile" TargetMode="External"/><Relationship Id="rId8" Type="http://schemas.openxmlformats.org/officeDocument/2006/relationships/hyperlink" Target="https://www.linkedin.com/learning/paths/become-an-inclusive-leader?trk=ondemandfile" TargetMode="External"/><Relationship Id="rId40" Type="http://schemas.openxmlformats.org/officeDocument/2006/relationships/hyperlink" Target="https://www.linkedin.com/learning/facilitation-skills-for-managers-and-leaders?trk=ondemandfile" TargetMode="External"/><Relationship Id="rId42" Type="http://schemas.openxmlformats.org/officeDocument/2006/relationships/hyperlink" Target="https://www.linkedin.com/learning/igniting-emotional-engagement?trk=ondemandfile" TargetMode="External"/><Relationship Id="rId41" Type="http://schemas.openxmlformats.org/officeDocument/2006/relationships/hyperlink" Target="https://www.linkedin.com/learning/productive-leadership?trk=ondemandfile" TargetMode="External"/><Relationship Id="rId44" Type="http://schemas.openxmlformats.org/officeDocument/2006/relationships/hyperlink" Target="https://www.linkedin.com/learning/connecting-to-executives-2018?trk=ondemandfile" TargetMode="External"/><Relationship Id="rId43" Type="http://schemas.openxmlformats.org/officeDocument/2006/relationships/hyperlink" Target="https://www.linkedin.com/learning/identify-and-unleash-potential-in-your-employees?trk=ondemandfile" TargetMode="External"/><Relationship Id="rId46" Type="http://schemas.openxmlformats.org/officeDocument/2006/relationships/hyperlink" Target="https://www.linkedin.com/learning/managing-in-a-matrixed-organization?trk=ondemandfile" TargetMode="External"/><Relationship Id="rId45" Type="http://schemas.openxmlformats.org/officeDocument/2006/relationships/hyperlink" Target="https://www.linkedin.com/learning/virtual-and-hybrid-meeting-essentials?trk=ondemandfile" TargetMode="External"/><Relationship Id="rId48" Type="http://schemas.openxmlformats.org/officeDocument/2006/relationships/hyperlink" Target="https://www.linkedin.com/learning/be-a-better-manager-by-motivating-your-team?trk=ondemandfile" TargetMode="External"/><Relationship Id="rId47" Type="http://schemas.openxmlformats.org/officeDocument/2006/relationships/hyperlink" Target="https://www.linkedin.com/learning/leading-virtual-meetings?trk=ondemandfile" TargetMode="External"/><Relationship Id="rId49" Type="http://schemas.openxmlformats.org/officeDocument/2006/relationships/hyperlink" Target="https://www.linkedin.com/learning/coaching-and-developing-employees-2019?trk=ondemandfile" TargetMode="External"/><Relationship Id="rId31" Type="http://schemas.openxmlformats.org/officeDocument/2006/relationships/hyperlink" Target="https://www.linkedin.com/learning/build-your-team?trk=ondemandfile" TargetMode="External"/><Relationship Id="rId30" Type="http://schemas.openxmlformats.org/officeDocument/2006/relationships/hyperlink" Target="https://www.linkedin.com/learning/leading-inclusive-teams?trk=ondemandfile" TargetMode="External"/><Relationship Id="rId33" Type="http://schemas.openxmlformats.org/officeDocument/2006/relationships/hyperlink" Target="https://www.linkedin.com/learning/how-to-set-team-and-employee-goals?trk=ondemandfile" TargetMode="External"/><Relationship Id="rId32" Type="http://schemas.openxmlformats.org/officeDocument/2006/relationships/hyperlink" Target="https://www.linkedin.com/learning/what-are-your-blind-spots-getabstract-summary?trk=ondemandfile" TargetMode="External"/><Relationship Id="rId35" Type="http://schemas.openxmlformats.org/officeDocument/2006/relationships/hyperlink" Target="https://www.linkedin.com/learning/culture-of-kaizen?trk=ondemandfile" TargetMode="External"/><Relationship Id="rId34" Type="http://schemas.openxmlformats.org/officeDocument/2006/relationships/hyperlink" Target="https://www.linkedin.com/learning/the-art-of-connection-7-relationship-building-skills-every-leader-needs-now-getabstract-summary?trk=ondemandfile" TargetMode="External"/><Relationship Id="rId37" Type="http://schemas.openxmlformats.org/officeDocument/2006/relationships/hyperlink" Target="https://www.linkedin.com/learning/the-practices-of-high-performing-employees?trk=ondemandfile" TargetMode="External"/><Relationship Id="rId36" Type="http://schemas.openxmlformats.org/officeDocument/2006/relationships/hyperlink" Target="https://www.linkedin.com/learning/unleash-your-team-s-creativity?trk=ondemandfile" TargetMode="External"/><Relationship Id="rId39" Type="http://schemas.openxmlformats.org/officeDocument/2006/relationships/hyperlink" Target="https://www.linkedin.com/learning/how-to-give-and-receive-useful-feedback-every-month?trk=ondemandfile" TargetMode="External"/><Relationship Id="rId38" Type="http://schemas.openxmlformats.org/officeDocument/2006/relationships/hyperlink" Target="https://www.linkedin.com/learning/managing-and-working-with-a-technical-team-for-nontechnical-professionals?trk=ondemandfile" TargetMode="External"/><Relationship Id="rId20" Type="http://schemas.openxmlformats.org/officeDocument/2006/relationships/hyperlink" Target="https://www.linkedin.com/learning/paths/fostering-collaboration?trk=ondemandfile" TargetMode="External"/><Relationship Id="rId22" Type="http://schemas.openxmlformats.org/officeDocument/2006/relationships/hyperlink" Target="https://www.linkedin.com/learning/paths/improve-your-teamwork-skills?trk=ondemandfile" TargetMode="External"/><Relationship Id="rId21" Type="http://schemas.openxmlformats.org/officeDocument/2006/relationships/hyperlink" Target="https://www.linkedin.com/learning/the-long-distance-leader-getabstract-summary?trk=ondemandfile" TargetMode="External"/><Relationship Id="rId24" Type="http://schemas.openxmlformats.org/officeDocument/2006/relationships/hyperlink" Target="https://www.linkedin.com/learning/paths/improve-your-teamwork-skills?trk=ondemandfile" TargetMode="External"/><Relationship Id="rId23" Type="http://schemas.openxmlformats.org/officeDocument/2006/relationships/hyperlink" Target="https://www.linkedin.com/learning/leading-together-coleading-a-project-team-or-organization?trk=ondemandfile" TargetMode="External"/><Relationship Id="rId26" Type="http://schemas.openxmlformats.org/officeDocument/2006/relationships/hyperlink" Target="https://www.linkedin.com/learning/humble-leadership-the-power-of-relationships-openness-and-trust-getabstract-summary?trk=ondemandfile" TargetMode="External"/><Relationship Id="rId25" Type="http://schemas.openxmlformats.org/officeDocument/2006/relationships/hyperlink" Target="https://www.linkedin.com/learning/rewarding-employee-performance?trk=ondemandfile" TargetMode="External"/><Relationship Id="rId28" Type="http://schemas.openxmlformats.org/officeDocument/2006/relationships/hyperlink" Target="https://www.linkedin.com/learning/supporting-a-grieving-employee-a-manager-s-guide?trk=ondemandfile" TargetMode="External"/><Relationship Id="rId27" Type="http://schemas.openxmlformats.org/officeDocument/2006/relationships/hyperlink" Target="https://www.linkedin.com/learning/communicating-to-drive-people-to-take-action?trk=ondemandfile" TargetMode="External"/><Relationship Id="rId29" Type="http://schemas.openxmlformats.org/officeDocument/2006/relationships/hyperlink" Target="https://www.linkedin.com/learning/managing-new-managers?trk=ondemandfile" TargetMode="External"/><Relationship Id="rId11" Type="http://schemas.openxmlformats.org/officeDocument/2006/relationships/hyperlink" Target="https://www.linkedin.com/learning/reid-hoffman-and-chris-yeh-on-creating-an-alliance-with-employees?trk=ondemandfile" TargetMode="External"/><Relationship Id="rId10" Type="http://schemas.openxmlformats.org/officeDocument/2006/relationships/hyperlink" Target="https://www.linkedin.com/learning/paths/fostering-collaboration?trk=ondemandfile" TargetMode="External"/><Relationship Id="rId13" Type="http://schemas.openxmlformats.org/officeDocument/2006/relationships/hyperlink" Target="https://www.linkedin.com/learning/doing-good-to-build-a-profitable-business?trk=ondemandfile" TargetMode="External"/><Relationship Id="rId12" Type="http://schemas.openxmlformats.org/officeDocument/2006/relationships/hyperlink" Target="https://www.linkedin.com/learning/paths/building-trust-and-collaborating-with-others-2?trk=ondemandfile" TargetMode="External"/><Relationship Id="rId15" Type="http://schemas.openxmlformats.org/officeDocument/2006/relationships/hyperlink" Target="https://www.linkedin.com/learning/employee-experience?trk=ondemandfile" TargetMode="External"/><Relationship Id="rId14" Type="http://schemas.openxmlformats.org/officeDocument/2006/relationships/hyperlink" Target="https://www.linkedin.com/learning/paths/improve-your-coaching-skills-as-a-manager?trk=ondemandfile" TargetMode="External"/><Relationship Id="rId17" Type="http://schemas.openxmlformats.org/officeDocument/2006/relationships/hyperlink" Target="https://www.linkedin.com/learning/creating-a-high-performance-culture?trk=ondemandfile" TargetMode="External"/><Relationship Id="rId16" Type="http://schemas.openxmlformats.org/officeDocument/2006/relationships/hyperlink" Target="https://www.linkedin.com/learning/paths/digital-transformation-in-practice-virtual-collaboration-tools?trk=ondemandfile" TargetMode="External"/><Relationship Id="rId19" Type="http://schemas.openxmlformats.org/officeDocument/2006/relationships/hyperlink" Target="https://www.linkedin.com/learning/communicating-values?trk=ondemandfile" TargetMode="External"/><Relationship Id="rId18" Type="http://schemas.openxmlformats.org/officeDocument/2006/relationships/hyperlink" Target="https://www.linkedin.com/learning/paths/managing-performance?trk=ondemandfile" TargetMode="External"/><Relationship Id="rId84" Type="http://schemas.openxmlformats.org/officeDocument/2006/relationships/hyperlink" Target="https://www.linkedin.com/learning/the-surprising-power-of-seeing-people-as-people?trk=ondemandfile" TargetMode="External"/><Relationship Id="rId83" Type="http://schemas.openxmlformats.org/officeDocument/2006/relationships/hyperlink" Target="https://www.linkedin.com/learning/a-strengths-based-approach-to-managing-your-team?trk=ondemandfile" TargetMode="External"/><Relationship Id="rId86" Type="http://schemas.openxmlformats.org/officeDocument/2006/relationships/hyperlink" Target="https://www.linkedin.com/learning/creating-a-culture-of-learning-2?trk=ondemandfile" TargetMode="External"/><Relationship Id="rId85" Type="http://schemas.openxmlformats.org/officeDocument/2006/relationships/hyperlink" Target="https://www.linkedin.com/learning/strategies-for-effective-leadership-teams?trk=ondemandfile" TargetMode="External"/><Relationship Id="rId88" Type="http://schemas.openxmlformats.org/officeDocument/2006/relationships/hyperlink" Target="https://www.linkedin.com/learning/teamwork-foundations-2020?trk=ondemandfile" TargetMode="External"/><Relationship Id="rId87" Type="http://schemas.openxmlformats.org/officeDocument/2006/relationships/hyperlink" Target="https://www.linkedin.com/learning/making-hybrid-teams-work?trk=ondemandfile" TargetMode="External"/><Relationship Id="rId89" Type="http://schemas.openxmlformats.org/officeDocument/2006/relationships/hyperlink" Target="https://www.linkedin.com/learning/advanced-remote-work-strategies?trk=ondemandfile" TargetMode="External"/><Relationship Id="rId80" Type="http://schemas.openxmlformats.org/officeDocument/2006/relationships/hyperlink" Target="https://www.linkedin.com/learning/women-transforming-tech-networking?trk=ondemandfile" TargetMode="External"/><Relationship Id="rId82" Type="http://schemas.openxmlformats.org/officeDocument/2006/relationships/hyperlink" Target="https://www.linkedin.com/learning/social-success-at-work?trk=ondemandfile" TargetMode="External"/><Relationship Id="rId81" Type="http://schemas.openxmlformats.org/officeDocument/2006/relationships/hyperlink" Target="https://www.linkedin.com/learning/be-a-better-manager-by-motivating-your-team?trk=ondemandfile" TargetMode="External"/><Relationship Id="rId73" Type="http://schemas.openxmlformats.org/officeDocument/2006/relationships/hyperlink" Target="https://www.linkedin.com/learning/practicing-fairness-as-a-manager?trk=ondemandfile" TargetMode="External"/><Relationship Id="rId72" Type="http://schemas.openxmlformats.org/officeDocument/2006/relationships/hyperlink" Target="https://www.linkedin.com/learning/developing-self-awareness?trk=ondemandfile" TargetMode="External"/><Relationship Id="rId75" Type="http://schemas.openxmlformats.org/officeDocument/2006/relationships/hyperlink" Target="https://www.linkedin.com/learning/having-career-conversations-with-your-team?trk=ondemandfile" TargetMode="External"/><Relationship Id="rId74" Type="http://schemas.openxmlformats.org/officeDocument/2006/relationships/hyperlink" Target="https://www.linkedin.com/learning/developing-your-emotional-intelligence?trk=ondemandfile" TargetMode="External"/><Relationship Id="rId77" Type="http://schemas.openxmlformats.org/officeDocument/2006/relationships/hyperlink" Target="https://www.linkedin.com/learning/managing-for-better-ideas?trk=ondemandfile" TargetMode="External"/><Relationship Id="rId76" Type="http://schemas.openxmlformats.org/officeDocument/2006/relationships/hyperlink" Target="https://www.linkedin.com/learning/interpersonal-communication?trk=ondemandfile" TargetMode="External"/><Relationship Id="rId79" Type="http://schemas.openxmlformats.org/officeDocument/2006/relationships/hyperlink" Target="https://www.linkedin.com/learning/succeeding-as-a-first-time-t-ech-manager?trk=ondemandfile" TargetMode="External"/><Relationship Id="rId78" Type="http://schemas.openxmlformats.org/officeDocument/2006/relationships/hyperlink" Target="https://www.linkedin.com/learning/working-on-a-cross-functional-team?trk=ondemandfile" TargetMode="External"/><Relationship Id="rId71" Type="http://schemas.openxmlformats.org/officeDocument/2006/relationships/hyperlink" Target="https://www.linkedin.com/learning/managing-team-conflict?trk=ondemandfile" TargetMode="External"/><Relationship Id="rId70" Type="http://schemas.openxmlformats.org/officeDocument/2006/relationships/hyperlink" Target="https://www.linkedin.com/learning/communicating-with-empathy?trk=ondemandfile" TargetMode="External"/><Relationship Id="rId62" Type="http://schemas.openxmlformats.org/officeDocument/2006/relationships/hyperlink" Target="https://www.linkedin.com/learning/cross-functional-sales-teams?trk=ondemandfile" TargetMode="External"/><Relationship Id="rId61" Type="http://schemas.openxmlformats.org/officeDocument/2006/relationships/hyperlink" Target="https://www.linkedin.com/learning/developing-leaders-on-your-team?trk=ondemandfile" TargetMode="External"/><Relationship Id="rId64" Type="http://schemas.openxmlformats.org/officeDocument/2006/relationships/hyperlink" Target="https://www.linkedin.com/learning/how-to-build-rapport-quickly?trk=ondemandfile" TargetMode="External"/><Relationship Id="rId63" Type="http://schemas.openxmlformats.org/officeDocument/2006/relationships/hyperlink" Target="https://www.linkedin.com/learning/facilitation-skills-for-managers-and-leaders?trk=ondemandfile" TargetMode="External"/><Relationship Id="rId66" Type="http://schemas.openxmlformats.org/officeDocument/2006/relationships/hyperlink" Target="https://www.linkedin.com/learning/become-a-super-collaborator?trk=ondemandfile" TargetMode="External"/><Relationship Id="rId65" Type="http://schemas.openxmlformats.org/officeDocument/2006/relationships/hyperlink" Target="https://www.linkedin.com/learning/leading-and-working-in-teams?trk=ondemandfile" TargetMode="External"/><Relationship Id="rId68" Type="http://schemas.openxmlformats.org/officeDocument/2006/relationships/hyperlink" Target="https://www.linkedin.com/learning/collaboration-principles-and-process?trk=ondemandfile" TargetMode="External"/><Relationship Id="rId67" Type="http://schemas.openxmlformats.org/officeDocument/2006/relationships/hyperlink" Target="https://www.linkedin.com/learning/managing-a-cross-functional-team?trk=ondemandfile" TargetMode="External"/><Relationship Id="rId60" Type="http://schemas.openxmlformats.org/officeDocument/2006/relationships/hyperlink" Target="https://www.linkedin.com/learning/collaborative-workflows-for-editors-and-designers?trk=contentmappingfile" TargetMode="External"/><Relationship Id="rId69" Type="http://schemas.openxmlformats.org/officeDocument/2006/relationships/hyperlink" Target="https://www.linkedin.com/learning/managing-a-diverse-team?trk=ondemandfile" TargetMode="External"/><Relationship Id="rId51" Type="http://schemas.openxmlformats.org/officeDocument/2006/relationships/hyperlink" Target="https://www.linkedin.com/learning/managing-virtual-teams-2019?trk=ondemandfile" TargetMode="External"/><Relationship Id="rId50" Type="http://schemas.openxmlformats.org/officeDocument/2006/relationships/hyperlink" Target="https://www.linkedin.com/learning/building-connection-and-engagement-in-virtual-teams?trk=ondemandfile" TargetMode="External"/><Relationship Id="rId53" Type="http://schemas.openxmlformats.org/officeDocument/2006/relationships/hyperlink" Target="https://www.linkedin.com/learning/motivating-and-engaging-employees-2?trk=ondemandfile" TargetMode="External"/><Relationship Id="rId52" Type="http://schemas.openxmlformats.org/officeDocument/2006/relationships/hyperlink" Target="https://www.linkedin.com/learning/advanced-remote-work-strategies?trk=ondemandfile" TargetMode="External"/><Relationship Id="rId55" Type="http://schemas.openxmlformats.org/officeDocument/2006/relationships/hyperlink" Target="https://www.linkedin.com/learning/leading-inclusive-teams?trk=ondemandfile" TargetMode="External"/><Relationship Id="rId54" Type="http://schemas.openxmlformats.org/officeDocument/2006/relationships/hyperlink" Target="https://www.linkedin.com/learning/how-to-develop-friendships-and-connect-meaningfully-with-work-colleagues?trk=ondemandfile" TargetMode="External"/><Relationship Id="rId57" Type="http://schemas.openxmlformats.org/officeDocument/2006/relationships/hyperlink" Target="https://www.linkedin.com/learning/becoming-a-manager-your-team-loves?trk=ondemandfile" TargetMode="External"/><Relationship Id="rId56" Type="http://schemas.openxmlformats.org/officeDocument/2006/relationships/hyperlink" Target="https://www.linkedin.com/learning/a-guide-to-ergs-employee-resource-groups?trk=ondemandfile" TargetMode="External"/><Relationship Id="rId59" Type="http://schemas.openxmlformats.org/officeDocument/2006/relationships/hyperlink" Target="https://www.linkedin.com/learning/building-high-performance-teams?trk=ondemandfile" TargetMode="External"/><Relationship Id="rId58" Type="http://schemas.openxmlformats.org/officeDocument/2006/relationships/hyperlink" Target="https://www.linkedin.com/learning/build-a-trustworthy-reputation?trk=ondemandfile" TargetMode="External"/><Relationship Id="rId95" Type="http://schemas.openxmlformats.org/officeDocument/2006/relationships/hyperlink" Target="https://www.linkedin.com/learning/motivating-your-team-to-learn?trk=ondemandfile" TargetMode="External"/><Relationship Id="rId94" Type="http://schemas.openxmlformats.org/officeDocument/2006/relationships/hyperlink" Target="https://www.linkedin.com/learning/the-ultimate-guide-to-networking?trk=ondemandfile" TargetMode="External"/><Relationship Id="rId97" Type="http://schemas.openxmlformats.org/officeDocument/2006/relationships/hyperlink" Target="https://www.linkedin.com/learning/the-six-morning-habits-of-high-performers?trk=ondemandfile" TargetMode="External"/><Relationship Id="rId96" Type="http://schemas.openxmlformats.org/officeDocument/2006/relationships/hyperlink" Target="https://www.linkedin.com/learning/21-opportunities-for-better-networking?trk=ondemandfile" TargetMode="External"/><Relationship Id="rId99" Type="http://schemas.openxmlformats.org/officeDocument/2006/relationships/hyperlink" Target="https://www.linkedin.com/learning/teamwork-foundations-2020?trk=ondemandfile" TargetMode="External"/><Relationship Id="rId98" Type="http://schemas.openxmlformats.org/officeDocument/2006/relationships/hyperlink" Target="https://www.linkedin.com/learning/embracing-conflict-as-a-gift?trk=ondemandfile" TargetMode="External"/><Relationship Id="rId91" Type="http://schemas.openxmlformats.org/officeDocument/2006/relationships/hyperlink" Target="https://www.linkedin.com/learning/work-on-purpose?trk=ondemandfile" TargetMode="External"/><Relationship Id="rId90" Type="http://schemas.openxmlformats.org/officeDocument/2006/relationships/hyperlink" Target="https://www.linkedin.com/learning/allyship-for-all?trk=ondemandfile" TargetMode="External"/><Relationship Id="rId93" Type="http://schemas.openxmlformats.org/officeDocument/2006/relationships/hyperlink" Target="https://www.linkedin.com/learning/the-ideal-team-player-getabstract-summary?trk=ondemandfile" TargetMode="External"/><Relationship Id="rId92" Type="http://schemas.openxmlformats.org/officeDocument/2006/relationships/hyperlink" Target="https://www.linkedin.com/learning/leveraging-your-relationship-capital?trk=ondemandfile" TargetMode="External"/><Relationship Id="rId143" Type="http://schemas.openxmlformats.org/officeDocument/2006/relationships/hyperlink" Target="https://www.linkedin.com/learning/cultivating-grit-and-embracing-adversity-on-your-team?trk=ondemandfile" TargetMode="External"/><Relationship Id="rId142" Type="http://schemas.openxmlformats.org/officeDocument/2006/relationships/hyperlink" Target="https://www.linkedin.com/learning/business-collaboration-in-the-modern-workplace?trk=ondemandfile" TargetMode="External"/><Relationship Id="rId141" Type="http://schemas.openxmlformats.org/officeDocument/2006/relationships/hyperlink" Target="https://www.linkedin.com/learning/creating-a-connection-culture?trk=ondemandfile" TargetMode="External"/><Relationship Id="rId140" Type="http://schemas.openxmlformats.org/officeDocument/2006/relationships/hyperlink" Target="https://www.linkedin.com/learning/redesigning-how-we-work-in-2021?trk=ondemandfile" TargetMode="External"/><Relationship Id="rId146" Type="http://schemas.openxmlformats.org/officeDocument/2006/relationships/drawing" Target="../drawings/drawing6.xml"/><Relationship Id="rId145" Type="http://schemas.openxmlformats.org/officeDocument/2006/relationships/hyperlink" Target="https://www.linkedin.com/learning/developing-business-partnerships?trk=ondemandfile" TargetMode="External"/><Relationship Id="rId144" Type="http://schemas.openxmlformats.org/officeDocument/2006/relationships/hyperlink" Target="https://www.linkedin.com/learning/empathy-at-work?trk=ondemandfile" TargetMode="External"/><Relationship Id="rId139" Type="http://schemas.openxmlformats.org/officeDocument/2006/relationships/hyperlink" Target="https://www.linkedin.com/learning/creating-the-environment-for-productive-virtual-teams?trk=ondemandfile" TargetMode="External"/><Relationship Id="rId138" Type="http://schemas.openxmlformats.org/officeDocument/2006/relationships/hyperlink" Target="https://www.linkedin.com/learning/managing-up-as-an-employee?trk=ondemandfile" TargetMode="External"/><Relationship Id="rId137" Type="http://schemas.openxmlformats.org/officeDocument/2006/relationships/hyperlink" Target="https://www.linkedin.com/learning/leveraging-virtual-and-hybrid-teams-for-improved-effectiveness?trk=ondemandfile" TargetMode="External"/><Relationship Id="rId132" Type="http://schemas.openxmlformats.org/officeDocument/2006/relationships/hyperlink" Target="https://www.linkedin.com/learning/having-bold-and-inclusive-conversations?trk=ondemandfile" TargetMode="External"/><Relationship Id="rId131" Type="http://schemas.openxmlformats.org/officeDocument/2006/relationships/hyperlink" Target="https://www.linkedin.com/learning/building-and-managing-a-high-performing-sales-team?trk=ondemandfile" TargetMode="External"/><Relationship Id="rId130" Type="http://schemas.openxmlformats.org/officeDocument/2006/relationships/hyperlink" Target="https://www.linkedin.com/learning/business-ethics-2?trk=ondemandfile" TargetMode="External"/><Relationship Id="rId136" Type="http://schemas.openxmlformats.org/officeDocument/2006/relationships/hyperlink" Target="https://www.linkedin.com/learning/essentials-of-team-collaboration?trk=ondemandfile" TargetMode="External"/><Relationship Id="rId135" Type="http://schemas.openxmlformats.org/officeDocument/2006/relationships/hyperlink" Target="https://www.linkedin.com/learning/creating-an-adaptable-team?trk=ondemandfile" TargetMode="External"/><Relationship Id="rId134" Type="http://schemas.openxmlformats.org/officeDocument/2006/relationships/hyperlink" Target="https://www.linkedin.com/learning/building-relationships-while-working-from-home?trk=ondemandfile" TargetMode="External"/><Relationship Id="rId133" Type="http://schemas.openxmlformats.org/officeDocument/2006/relationships/hyperlink" Target="https://www.linkedin.com/learning/creating-winning-teams?trk=ondemandfile" TargetMode="External"/><Relationship Id="rId107" Type="http://schemas.openxmlformats.org/officeDocument/2006/relationships/hyperlink" Target="https://www.linkedin.com/learning/how-to-inspire-and-develop-your-direct-reports?trk=ondemandfile" TargetMode="External"/><Relationship Id="rId106" Type="http://schemas.openxmlformats.org/officeDocument/2006/relationships/hyperlink" Target="https://www.linkedin.com/learning/how-to-work-with-a-micromanager?trk=ondemandfile" TargetMode="External"/><Relationship Id="rId105" Type="http://schemas.openxmlformats.org/officeDocument/2006/relationships/hyperlink" Target="https://www.linkedin.com/learning/communication-within-teams?trk=ondemandfile" TargetMode="External"/><Relationship Id="rId104" Type="http://schemas.openxmlformats.org/officeDocument/2006/relationships/hyperlink" Target="https://www.linkedin.com/learning/connecting-and-collaborating-in-a-virtual-or-hybrid-workplace?trk=ondemandfile" TargetMode="External"/><Relationship Id="rId109" Type="http://schemas.openxmlformats.org/officeDocument/2006/relationships/hyperlink" Target="https://www.linkedin.com/learning/a-navy-seal-s-surprising-key-to-building-unstoppable-teams-caring?trk=ondemandfile" TargetMode="External"/><Relationship Id="rId108" Type="http://schemas.openxmlformats.org/officeDocument/2006/relationships/hyperlink" Target="https://www.linkedin.com/learning/communicating-with-transparency?trk=ondemandfile" TargetMode="External"/><Relationship Id="rId103" Type="http://schemas.openxmlformats.org/officeDocument/2006/relationships/hyperlink" Target="https://www.linkedin.com/learning/leading-remote-projects-and-virtual-teams?trk=ondemandfile" TargetMode="External"/><Relationship Id="rId102" Type="http://schemas.openxmlformats.org/officeDocument/2006/relationships/hyperlink" Target="https://www.linkedin.com/learning/the-value-of-employee-resource-groups?trk=ondemandfile" TargetMode="External"/><Relationship Id="rId101" Type="http://schemas.openxmlformats.org/officeDocument/2006/relationships/hyperlink" Target="https://www.linkedin.com/learning/creating-a-culture-of-learning-2?trk=ondemandfile" TargetMode="External"/><Relationship Id="rId100" Type="http://schemas.openxmlformats.org/officeDocument/2006/relationships/hyperlink" Target="https://www.linkedin.com/learning/mindful-team-building?trk=ondemandfile" TargetMode="External"/><Relationship Id="rId129" Type="http://schemas.openxmlformats.org/officeDocument/2006/relationships/hyperlink" Target="https://www.linkedin.com/learning/enhancing-team-innovation?trk=ondemandfile" TargetMode="External"/><Relationship Id="rId128" Type="http://schemas.openxmlformats.org/officeDocument/2006/relationships/hyperlink" Target="https://www.linkedin.com/learning/dealing-with-grief-loss-and-change-as-an-employee?trk=ondemandfile" TargetMode="External"/><Relationship Id="rId127" Type="http://schemas.openxmlformats.org/officeDocument/2006/relationships/hyperlink" Target="https://www.linkedin.com/learning/backgrounder-difficult-conversations-and-negotiations?trk=ondemandfile" TargetMode="External"/><Relationship Id="rId126" Type="http://schemas.openxmlformats.org/officeDocument/2006/relationships/hyperlink" Target="https://www.linkedin.com/learning/why-trust-matters-with-rachel-botsman?trk=ondemandfile" TargetMode="External"/><Relationship Id="rId121" Type="http://schemas.openxmlformats.org/officeDocument/2006/relationships/hyperlink" Target="https://www.linkedin.com/learning/business-chemistry-blinkist-summary?trk=ondemandfile" TargetMode="External"/><Relationship Id="rId120" Type="http://schemas.openxmlformats.org/officeDocument/2006/relationships/hyperlink" Target="https://www.linkedin.com/learning/learning-to-say-no-with-confidence-and-grace?trk=ondemandfile" TargetMode="External"/><Relationship Id="rId125" Type="http://schemas.openxmlformats.org/officeDocument/2006/relationships/hyperlink" Target="https://www.linkedin.com/learning/best-practices-for-new-people-leaders?trk=ondemandfile" TargetMode="External"/><Relationship Id="rId124" Type="http://schemas.openxmlformats.org/officeDocument/2006/relationships/hyperlink" Target="https://www.linkedin.com/learning/professional-networking?trk=ondemandfile" TargetMode="External"/><Relationship Id="rId123" Type="http://schemas.openxmlformats.org/officeDocument/2006/relationships/hyperlink" Target="https://www.linkedin.com/learning/essentials-of-team-collaboration?trk=ondemandfile" TargetMode="External"/><Relationship Id="rId122" Type="http://schemas.openxmlformats.org/officeDocument/2006/relationships/hyperlink" Target="https://www.linkedin.com/learning/effective-listening?trk=ondemandfile" TargetMode="External"/><Relationship Id="rId118" Type="http://schemas.openxmlformats.org/officeDocument/2006/relationships/hyperlink" Target="https://www.linkedin.com/learning/microsoft-viva-first-look?trk=ondemandfile" TargetMode="External"/><Relationship Id="rId117" Type="http://schemas.openxmlformats.org/officeDocument/2006/relationships/hyperlink" Target="https://www.linkedin.com/learning/shane-snow-on-dream-teams?trk=ondemandfile" TargetMode="External"/><Relationship Id="rId116" Type="http://schemas.openxmlformats.org/officeDocument/2006/relationships/hyperlink" Target="https://www.linkedin.com/learning/improving-your-listening-skills?trk=ondemandfile" TargetMode="External"/><Relationship Id="rId115" Type="http://schemas.openxmlformats.org/officeDocument/2006/relationships/hyperlink" Target="https://www.linkedin.com/learning/boosting-your-team-s-productivity?trk=ondemandfile" TargetMode="External"/><Relationship Id="rId119" Type="http://schemas.openxmlformats.org/officeDocument/2006/relationships/hyperlink" Target="https://www.linkedin.com/learning/a-great-place-to-work-for-all-getabstract-summary?trk=ondemandfile" TargetMode="External"/><Relationship Id="rId110" Type="http://schemas.openxmlformats.org/officeDocument/2006/relationships/hyperlink" Target="https://www.linkedin.com/learning/being-an-effective-team-member?trk=ondemandfile" TargetMode="External"/><Relationship Id="rId114" Type="http://schemas.openxmlformats.org/officeDocument/2006/relationships/hyperlink" Target="https://www.linkedin.com/learning/giving-and-receiving-feedback?trk=ondemandfile" TargetMode="External"/><Relationship Id="rId113" Type="http://schemas.openxmlformats.org/officeDocument/2006/relationships/hyperlink" Target="https://www.linkedin.com/learning/the-art-of-leadership-getabstract-summary?trk=ondemandfile" TargetMode="External"/><Relationship Id="rId112" Type="http://schemas.openxmlformats.org/officeDocument/2006/relationships/hyperlink" Target="https://www.linkedin.com/learning/building-trust-2018?trk=ondemandfile" TargetMode="External"/><Relationship Id="rId111" Type="http://schemas.openxmlformats.org/officeDocument/2006/relationships/hyperlink" Target="https://www.linkedin.com/learning/how-to-stop-wasting-time-in-meetings?trk=ondemandfile"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linkedin.com/learning/doing-good-to-build-a-profitable-business?trk=ondemandfile" TargetMode="External"/><Relationship Id="rId2" Type="http://schemas.openxmlformats.org/officeDocument/2006/relationships/hyperlink" Target="https://www.linkedin.com/learning/paths/communicating-during-times-of-change?trk=ondemandfile" TargetMode="External"/><Relationship Id="rId3" Type="http://schemas.openxmlformats.org/officeDocument/2006/relationships/hyperlink" Target="https://www.linkedin.com/learning/managing-in-difficult-times?trk=ondemandfile" TargetMode="External"/><Relationship Id="rId4" Type="http://schemas.openxmlformats.org/officeDocument/2006/relationships/hyperlink" Target="https://www.linkedin.com/learning/paths/develop-conflict-management-and-resolution-skills?trk=ondemandfile" TargetMode="External"/><Relationship Id="rId9" Type="http://schemas.openxmlformats.org/officeDocument/2006/relationships/hyperlink" Target="https://www.linkedin.com/learning/cmo-foundations-working-with-leadership-and-board-of-directors?trk=ondemandfile" TargetMode="External"/><Relationship Id="rId5" Type="http://schemas.openxmlformats.org/officeDocument/2006/relationships/hyperlink" Target="https://www.linkedin.com/learning/cmo-foundations-creating-a-marketing-culture?trk=ondemandfile" TargetMode="External"/><Relationship Id="rId6" Type="http://schemas.openxmlformats.org/officeDocument/2006/relationships/hyperlink" Target="https://www.linkedin.com/learning/paths/create-a-successful-pitch-for-investors?trk=ondemandfile" TargetMode="External"/><Relationship Id="rId7" Type="http://schemas.openxmlformats.org/officeDocument/2006/relationships/hyperlink" Target="https://www.linkedin.com/learning/the-hard-thing-about-hard-things?trk=ondemandfile" TargetMode="External"/><Relationship Id="rId8" Type="http://schemas.openxmlformats.org/officeDocument/2006/relationships/hyperlink" Target="https://www.linkedin.com/learning/paths/improve-your-teamwork-skills?trk=ondemandfile" TargetMode="External"/><Relationship Id="rId40" Type="http://schemas.openxmlformats.org/officeDocument/2006/relationships/hyperlink" Target="https://www.linkedin.com/learning/managing-employee-performance-problems-2018?trk=ondemandfile" TargetMode="External"/><Relationship Id="rId42" Type="http://schemas.openxmlformats.org/officeDocument/2006/relationships/hyperlink" Target="https://www.linkedin.com/learning/paths/visual-communication-for-business-professionals?trk=ondemandfile" TargetMode="External"/><Relationship Id="rId41" Type="http://schemas.openxmlformats.org/officeDocument/2006/relationships/hyperlink" Target="https://www.linkedin.com/learning/agile-negotiation?trk=ondemandfile" TargetMode="External"/><Relationship Id="rId44" Type="http://schemas.openxmlformats.org/officeDocument/2006/relationships/hyperlink" Target="https://www.linkedin.com/learning/stories-every-leader-should-tell?trk=ondemandfile" TargetMode="External"/><Relationship Id="rId43" Type="http://schemas.openxmlformats.org/officeDocument/2006/relationships/hyperlink" Target="https://www.linkedin.com/learning/managing-team-conflict?trk=ondemandfile" TargetMode="External"/><Relationship Id="rId46" Type="http://schemas.openxmlformats.org/officeDocument/2006/relationships/hyperlink" Target="https://www.linkedin.com/learning/becoming-a-thought-leader-2?trk=ondemandfile" TargetMode="External"/><Relationship Id="rId45" Type="http://schemas.openxmlformats.org/officeDocument/2006/relationships/hyperlink" Target="https://www.linkedin.com/learning/having-difficult-conversations-a-guide-for-managers?trk=ondemandfile" TargetMode="External"/><Relationship Id="rId48" Type="http://schemas.openxmlformats.org/officeDocument/2006/relationships/hyperlink" Target="https://www.linkedin.com/learning/taking-charge-of-your-leadership-conversations?trk=ondemandfile" TargetMode="External"/><Relationship Id="rId47" Type="http://schemas.openxmlformats.org/officeDocument/2006/relationships/hyperlink" Target="https://www.linkedin.com/learning/radical-candor?trk=ondemandfile" TargetMode="External"/><Relationship Id="rId49" Type="http://schemas.openxmlformats.org/officeDocument/2006/relationships/hyperlink" Target="https://www.linkedin.com/learning/dealing-with-microaggression-as-an-employee?trk=ondemandfile" TargetMode="External"/><Relationship Id="rId31" Type="http://schemas.openxmlformats.org/officeDocument/2006/relationships/hyperlink" Target="https://www.linkedin.com/learning/facilitation-skills-for-managers-and-leaders?trk=ondemandfile" TargetMode="External"/><Relationship Id="rId30" Type="http://schemas.openxmlformats.org/officeDocument/2006/relationships/hyperlink" Target="https://www.linkedin.com/learning/paths/improve-your-interoffice-politics-skills?trk=ondemandfile" TargetMode="External"/><Relationship Id="rId33" Type="http://schemas.openxmlformats.org/officeDocument/2006/relationships/hyperlink" Target="https://www.linkedin.com/learning/paths/improve-your-teamwork-skills?trk=ondemandfile" TargetMode="External"/><Relationship Id="rId32" Type="http://schemas.openxmlformats.org/officeDocument/2006/relationships/hyperlink" Target="https://www.linkedin.com/learning/leading-from-the-middle?trk=ondemandfile" TargetMode="External"/><Relationship Id="rId35" Type="http://schemas.openxmlformats.org/officeDocument/2006/relationships/hyperlink" Target="https://www.linkedin.com/learning/communicating-values?trk=ondemandfile" TargetMode="External"/><Relationship Id="rId34" Type="http://schemas.openxmlformats.org/officeDocument/2006/relationships/hyperlink" Target="https://www.linkedin.com/learning/human-resources-managing-employee-problems?trk=ondemandfile" TargetMode="External"/><Relationship Id="rId37" Type="http://schemas.openxmlformats.org/officeDocument/2006/relationships/hyperlink" Target="https://www.linkedin.com/learning/leading-through-relationships?trk=ondemandfile" TargetMode="External"/><Relationship Id="rId36" Type="http://schemas.openxmlformats.org/officeDocument/2006/relationships/hyperlink" Target="https://www.linkedin.com/learning/paths/master-in-demand-professional-soft-skills?trk=ondemandfile" TargetMode="External"/><Relationship Id="rId39" Type="http://schemas.openxmlformats.org/officeDocument/2006/relationships/hyperlink" Target="https://www.linkedin.com/learning/paths/navigating-election-season-at-work?trk=ondemandfile" TargetMode="External"/><Relationship Id="rId38" Type="http://schemas.openxmlformats.org/officeDocument/2006/relationships/hyperlink" Target="https://www.linkedin.com/learning/reputation-risk-management?trk=ondemandfile" TargetMode="External"/><Relationship Id="rId20" Type="http://schemas.openxmlformats.org/officeDocument/2006/relationships/hyperlink" Target="https://www.linkedin.com/learning/communicating-to-drive-people-to-take-action?trk=ondemandfile" TargetMode="External"/><Relationship Id="rId22" Type="http://schemas.openxmlformats.org/officeDocument/2006/relationships/hyperlink" Target="https://www.linkedin.com/learning/reputation-risk-management?trk=ondemandfile" TargetMode="External"/><Relationship Id="rId21" Type="http://schemas.openxmlformats.org/officeDocument/2006/relationships/hyperlink" Target="https://www.linkedin.com/learning/paths/develop-your-communication-skills-and-interpersonal-influence?trk=ondemandfile" TargetMode="External"/><Relationship Id="rId24" Type="http://schemas.openxmlformats.org/officeDocument/2006/relationships/hyperlink" Target="https://www.linkedin.com/learning/paths/fostering-collaboration?trk=ondemandfile" TargetMode="External"/><Relationship Id="rId23" Type="http://schemas.openxmlformats.org/officeDocument/2006/relationships/hyperlink" Target="https://www.linkedin.com/learning/organization-communication?trk=ondemandfile" TargetMode="External"/><Relationship Id="rId26" Type="http://schemas.openxmlformats.org/officeDocument/2006/relationships/hyperlink" Target="https://www.linkedin.com/learning/strategic-negotiation?trk=ondemandfile" TargetMode="External"/><Relationship Id="rId25" Type="http://schemas.openxmlformats.org/officeDocument/2006/relationships/hyperlink" Target="https://www.linkedin.com/learning/difficult-situations-solutions-for-managers?trk=ondemandfile" TargetMode="External"/><Relationship Id="rId28" Type="http://schemas.openxmlformats.org/officeDocument/2006/relationships/hyperlink" Target="https://www.linkedin.com/learning/get-momentum-how-to-start-when-you-re-stuck-getabstract-summary?trk=ondemandfile" TargetMode="External"/><Relationship Id="rId27" Type="http://schemas.openxmlformats.org/officeDocument/2006/relationships/hyperlink" Target="https://www.linkedin.com/learning/paths/how-to-engage-meaningfully-in-allyship-and-anti-racism?trk=ondemandfile" TargetMode="External"/><Relationship Id="rId29" Type="http://schemas.openxmlformats.org/officeDocument/2006/relationships/hyperlink" Target="https://www.linkedin.com/learning/navigating-executive-politics?trk=ondemandfile" TargetMode="External"/><Relationship Id="rId11" Type="http://schemas.openxmlformats.org/officeDocument/2006/relationships/hyperlink" Target="https://www.linkedin.com/learning/managing-conflict-a-practical-guide-to-resolution-in-the-workplace-getabstract-summary?trk=ondemandfile" TargetMode="External"/><Relationship Id="rId10" Type="http://schemas.openxmlformats.org/officeDocument/2006/relationships/hyperlink" Target="https://www.linkedin.com/learning/paths/create-and-deliver-engaging-presentations?trk=ondemandfile" TargetMode="External"/><Relationship Id="rId13" Type="http://schemas.openxmlformats.org/officeDocument/2006/relationships/hyperlink" Target="https://www.linkedin.com/learning/crisis-communication-for-hr?trk=ondemandfile" TargetMode="External"/><Relationship Id="rId12" Type="http://schemas.openxmlformats.org/officeDocument/2006/relationships/hyperlink" Target="https://www.linkedin.com/learning/paths/master-in-demand-professional-soft-skills?trk=ondemandfile" TargetMode="External"/><Relationship Id="rId15" Type="http://schemas.openxmlformats.org/officeDocument/2006/relationships/hyperlink" Target="https://www.linkedin.com/learning/crisis-communication?trk=ondemandfile" TargetMode="External"/><Relationship Id="rId14" Type="http://schemas.openxmlformats.org/officeDocument/2006/relationships/hyperlink" Target="https://www.linkedin.com/learning/paths/develop-conflict-management-and-resolution-skills?trk=ondemandfile" TargetMode="External"/><Relationship Id="rId17" Type="http://schemas.openxmlformats.org/officeDocument/2006/relationships/hyperlink" Target="https://www.linkedin.com/learning/organizational-thought-leadership?trk=ondemandfile" TargetMode="External"/><Relationship Id="rId16" Type="http://schemas.openxmlformats.org/officeDocument/2006/relationships/hyperlink" Target="https://www.linkedin.com/learning/paths/succeeding-in-sales-during-times-of-volatility?trk=ondemandfile" TargetMode="External"/><Relationship Id="rId19" Type="http://schemas.openxmlformats.org/officeDocument/2006/relationships/hyperlink" Target="https://www.linkedin.com/learning/communicating-in-times-of-change?trk=ondemandfile" TargetMode="External"/><Relationship Id="rId18" Type="http://schemas.openxmlformats.org/officeDocument/2006/relationships/hyperlink" Target="https://www.linkedin.com/learning/paths/develop-motivate-and-retain-employees?trk=ondemandfile" TargetMode="External"/><Relationship Id="rId84" Type="http://schemas.openxmlformats.org/officeDocument/2006/relationships/hyperlink" Target="https://www.linkedin.com/learning/how-to-speak-up-against-racism-at-work?trk=ondemandfile" TargetMode="External"/><Relationship Id="rId83" Type="http://schemas.openxmlformats.org/officeDocument/2006/relationships/hyperlink" Target="https://www.linkedin.com/learning/leading-in-crisis?trk=ondemandfile" TargetMode="External"/><Relationship Id="rId86" Type="http://schemas.openxmlformats.org/officeDocument/2006/relationships/hyperlink" Target="https://www.linkedin.com/learning/communicating-with-empathy?trk=ondemandfile" TargetMode="External"/><Relationship Id="rId85" Type="http://schemas.openxmlformats.org/officeDocument/2006/relationships/hyperlink" Target="https://www.linkedin.com/learning/marketing-during-a-crisis?trk=ondemandfile" TargetMode="External"/><Relationship Id="rId88" Type="http://schemas.openxmlformats.org/officeDocument/2006/relationships/hyperlink" Target="https://www.linkedin.com/learning/communication-foundations-2?trk=ondemandfile" TargetMode="External"/><Relationship Id="rId87" Type="http://schemas.openxmlformats.org/officeDocument/2006/relationships/hyperlink" Target="https://www.linkedin.com/learning/how-to-give-negative-feedback-to-senior-colleagues?trk=ondemandfile" TargetMode="External"/><Relationship Id="rId89" Type="http://schemas.openxmlformats.org/officeDocument/2006/relationships/hyperlink" Target="https://www.linkedin.com/learning/difficult-conversations-about-politics-at-work?trk=ondemandfile" TargetMode="External"/><Relationship Id="rId80" Type="http://schemas.openxmlformats.org/officeDocument/2006/relationships/hyperlink" Target="https://www.linkedin.com/learning/integrated-marketing-communication-strategies?trk=ondemandfile" TargetMode="External"/><Relationship Id="rId82" Type="http://schemas.openxmlformats.org/officeDocument/2006/relationships/hyperlink" Target="https://www.linkedin.com/learning/how-to-develop-friendships-and-connect-meaningfully-with-work-colleagues?trk=ondemandfile" TargetMode="External"/><Relationship Id="rId81" Type="http://schemas.openxmlformats.org/officeDocument/2006/relationships/hyperlink" Target="https://www.linkedin.com/learning/effective-listening?trk=ondemandfile" TargetMode="External"/><Relationship Id="rId73" Type="http://schemas.openxmlformats.org/officeDocument/2006/relationships/hyperlink" Target="https://www.linkedin.com/learning/mixtape-highlights-from-linkedin-learning-courses?trk=ondemandfile" TargetMode="External"/><Relationship Id="rId72" Type="http://schemas.openxmlformats.org/officeDocument/2006/relationships/hyperlink" Target="https://www.linkedin.com/learning/connecting-to-executives-2018?trk=ondemandfile" TargetMode="External"/><Relationship Id="rId75" Type="http://schemas.openxmlformats.org/officeDocument/2006/relationships/hyperlink" Target="https://www.linkedin.com/learning/fred-kofman-on-managing-conflict?trk=ondemandfile" TargetMode="External"/><Relationship Id="rId74" Type="http://schemas.openxmlformats.org/officeDocument/2006/relationships/hyperlink" Target="https://www.linkedin.com/learning/executive-presence-on-video-conference-calls?trk=ondemandfile" TargetMode="External"/><Relationship Id="rId77" Type="http://schemas.openxmlformats.org/officeDocument/2006/relationships/hyperlink" Target="https://www.linkedin.com/learning/having-difficult-conversations-2?trk=ondemandfile" TargetMode="External"/><Relationship Id="rId76" Type="http://schemas.openxmlformats.org/officeDocument/2006/relationships/hyperlink" Target="https://www.linkedin.com/learning/improving-your-leadership-communications?trk=ondemandfile" TargetMode="External"/><Relationship Id="rId79" Type="http://schemas.openxmlformats.org/officeDocument/2006/relationships/hyperlink" Target="https://www.linkedin.com/learning/improving-your-conflict-competence?trk=ondemandfile" TargetMode="External"/><Relationship Id="rId78" Type="http://schemas.openxmlformats.org/officeDocument/2006/relationships/hyperlink" Target="https://www.linkedin.com/learning/compassionate-leadership?trk=ondemandfile" TargetMode="External"/><Relationship Id="rId71" Type="http://schemas.openxmlformats.org/officeDocument/2006/relationships/hyperlink" Target="https://www.linkedin.com/learning/how-to-win-arguments?trk=ondemandfile" TargetMode="External"/><Relationship Id="rId70" Type="http://schemas.openxmlformats.org/officeDocument/2006/relationships/hyperlink" Target="https://www.linkedin.com/learning/2020-vlog-leading-with-intelligent-disobedience?trk=ondemandfile" TargetMode="External"/><Relationship Id="rId62" Type="http://schemas.openxmlformats.org/officeDocument/2006/relationships/hyperlink" Target="https://www.linkedin.com/learning/communicating-internally-during-times-of-uncertainty?trk=ondemandfile" TargetMode="External"/><Relationship Id="rId61" Type="http://schemas.openxmlformats.org/officeDocument/2006/relationships/hyperlink" Target="https://www.linkedin.com/learning/conflict-resolution-foundations-2018?trk=ondemandfile" TargetMode="External"/><Relationship Id="rId64" Type="http://schemas.openxmlformats.org/officeDocument/2006/relationships/hyperlink" Target="https://www.linkedin.com/learning/facilitation-skills-for-managers-and-leaders?trk=ondemandfile" TargetMode="External"/><Relationship Id="rId63" Type="http://schemas.openxmlformats.org/officeDocument/2006/relationships/hyperlink" Target="https://www.linkedin.com/learning/dealing-with-difficult-people-in-your-office?trk=ondemandfile" TargetMode="External"/><Relationship Id="rId66" Type="http://schemas.openxmlformats.org/officeDocument/2006/relationships/hyperlink" Target="https://www.linkedin.com/learning/leading-with-applied-improv?trk=ondemandfile" TargetMode="External"/><Relationship Id="rId65" Type="http://schemas.openxmlformats.org/officeDocument/2006/relationships/hyperlink" Target="https://www.linkedin.com/learning/embracing-conflict-as-a-gift?trk=ondemandfile" TargetMode="External"/><Relationship Id="rId68" Type="http://schemas.openxmlformats.org/officeDocument/2006/relationships/hyperlink" Target="https://www.linkedin.com/learning/igniting-emotional-engagement?trk=ondemandfile" TargetMode="External"/><Relationship Id="rId67" Type="http://schemas.openxmlformats.org/officeDocument/2006/relationships/hyperlink" Target="https://www.linkedin.com/learning/how-to-manage-high-stakes-conflict?trk=ondemandfile" TargetMode="External"/><Relationship Id="rId60" Type="http://schemas.openxmlformats.org/officeDocument/2006/relationships/hyperlink" Target="https://www.linkedin.com/learning/body-language-for-leaders-2?trk=ondemandfile" TargetMode="External"/><Relationship Id="rId69" Type="http://schemas.openxmlformats.org/officeDocument/2006/relationships/hyperlink" Target="https://www.linkedin.com/learning/how-to-use-negotiation-jiu-jitsu-to-resolve-conflicts-and-persuade?trk=ondemandfile" TargetMode="External"/><Relationship Id="rId51" Type="http://schemas.openxmlformats.org/officeDocument/2006/relationships/hyperlink" Target="https://www.linkedin.com/learning/de-escalating-conversations-for-customer-service?trk=ondemandfile" TargetMode="External"/><Relationship Id="rId50" Type="http://schemas.openxmlformats.org/officeDocument/2006/relationships/hyperlink" Target="https://www.linkedin.com/learning/applying-critical-thinking-strategies-to-communicate-effectively?trk=ondemandfile" TargetMode="External"/><Relationship Id="rId53" Type="http://schemas.openxmlformats.org/officeDocument/2006/relationships/hyperlink" Target="https://www.linkedin.com/learning/how-to-resolve-conflicts?trk=ondemandfile" TargetMode="External"/><Relationship Id="rId52" Type="http://schemas.openxmlformats.org/officeDocument/2006/relationships/hyperlink" Target="https://www.linkedin.com/learning/creating-a-culture-that-inspires-your-employees?trk=ondemandfile" TargetMode="External"/><Relationship Id="rId55" Type="http://schemas.openxmlformats.org/officeDocument/2006/relationships/hyperlink" Target="https://www.linkedin.com/learning/how-to-proactively-manage-conflict-as-an-employee?trk=ondemandfile" TargetMode="External"/><Relationship Id="rId54" Type="http://schemas.openxmlformats.org/officeDocument/2006/relationships/hyperlink" Target="https://www.linkedin.com/learning/communicating-in-the-lan-guage-of-leadership?trk=ondemandfile" TargetMode="External"/><Relationship Id="rId57" Type="http://schemas.openxmlformats.org/officeDocument/2006/relationships/hyperlink" Target="https://www.linkedin.com/learning/dealing-with-disappointment-in-your-role?trk=ondemandfile" TargetMode="External"/><Relationship Id="rId56" Type="http://schemas.openxmlformats.org/officeDocument/2006/relationships/hyperlink" Target="https://www.linkedin.com/learning/influence-versus-manipulation-the-ethics-of-persuasion?trk=ondemandfile" TargetMode="External"/><Relationship Id="rId59" Type="http://schemas.openxmlformats.org/officeDocument/2006/relationships/hyperlink" Target="https://www.linkedin.com/learning/communicating-with-empathy?trk=ondemandfile" TargetMode="External"/><Relationship Id="rId58" Type="http://schemas.openxmlformats.org/officeDocument/2006/relationships/hyperlink" Target="https://www.linkedin.com/learning/supporting-a-grieving-employee-a-manager-s-guide?trk=ondemandfile" TargetMode="External"/><Relationship Id="rId95" Type="http://schemas.openxmlformats.org/officeDocument/2006/relationships/hyperlink" Target="https://www.linkedin.com/learning/women-transforming-tech-finding-a-mentor?trk=ondemandfile" TargetMode="External"/><Relationship Id="rId94" Type="http://schemas.openxmlformats.org/officeDocument/2006/relationships/hyperlink" Target="https://www.linkedin.com/learning/persuading-others?trk=ondemandfile" TargetMode="External"/><Relationship Id="rId97" Type="http://schemas.openxmlformats.org/officeDocument/2006/relationships/hyperlink" Target="https://www.linkedin.com/learning/women-transforming-tech-round-table-discussion?trk=ondemandfile" TargetMode="External"/><Relationship Id="rId96" Type="http://schemas.openxmlformats.org/officeDocument/2006/relationships/hyperlink" Target="https://www.linkedin.com/learning/women-transforming-tech-breaking-in-and-staying-in-the-industry?trk=ondemandfile" TargetMode="External"/><Relationship Id="rId99" Type="http://schemas.openxmlformats.org/officeDocument/2006/relationships/hyperlink" Target="https://www.linkedin.com/learning/own-your-voice-improve-presentations-and-executive-presence?trk=ondemandfile" TargetMode="External"/><Relationship Id="rId98" Type="http://schemas.openxmlformats.org/officeDocument/2006/relationships/hyperlink" Target="https://www.linkedin.com/learning/women-transforming-tech-networking?trk=ondemandfile" TargetMode="External"/><Relationship Id="rId91" Type="http://schemas.openxmlformats.org/officeDocument/2006/relationships/hyperlink" Target="https://www.linkedin.com/learning/managing-misconduct-in-the-workplace?trk=ondemandfile" TargetMode="External"/><Relationship Id="rId90" Type="http://schemas.openxmlformats.org/officeDocument/2006/relationships/hyperlink" Target="https://www.linkedin.com/learning/interpersonal-communication?trk=ondemandfile" TargetMode="External"/><Relationship Id="rId93" Type="http://schemas.openxmlformats.org/officeDocument/2006/relationships/hyperlink" Target="https://www.linkedin.com/learning/negotiation-skills?trk=ondemandfile" TargetMode="External"/><Relationship Id="rId92" Type="http://schemas.openxmlformats.org/officeDocument/2006/relationships/hyperlink" Target="https://www.linkedin.com/learning/learning-to-be-approachable?trk=ondemandfile" TargetMode="External"/><Relationship Id="rId173" Type="http://schemas.openxmlformats.org/officeDocument/2006/relationships/drawing" Target="../drawings/drawing7.xml"/><Relationship Id="rId150" Type="http://schemas.openxmlformats.org/officeDocument/2006/relationships/hyperlink" Target="https://www.linkedin.com/learning/zoom-leading-effective-and-engaging-calls?trk=ondemandfile" TargetMode="External"/><Relationship Id="rId149" Type="http://schemas.openxmlformats.org/officeDocument/2006/relationships/hyperlink" Target="https://www.linkedin.com/learning/asserting-yourself-an-empowered-choice?trk=ondemandfile" TargetMode="External"/><Relationship Id="rId148" Type="http://schemas.openxmlformats.org/officeDocument/2006/relationships/hyperlink" Target="https://www.linkedin.com/learning/starting-a-memorable-conversation?trk=ondemandfile" TargetMode="External"/><Relationship Id="rId143" Type="http://schemas.openxmlformats.org/officeDocument/2006/relationships/hyperlink" Target="https://www.linkedin.com/learning/use-your-strengths-for-impact-and-influence-at-work?trk=ondemandfile" TargetMode="External"/><Relationship Id="rId142" Type="http://schemas.openxmlformats.org/officeDocument/2006/relationships/hyperlink" Target="https://www.linkedin.com/learning/advanced-business-development-communication-and-negotiation?trk=ondemandfile" TargetMode="External"/><Relationship Id="rId141" Type="http://schemas.openxmlformats.org/officeDocument/2006/relationships/hyperlink" Target="https://www.linkedin.com/learning/building-your-visibility-as-a-leader?trk=ondemandfile" TargetMode="External"/><Relationship Id="rId140" Type="http://schemas.openxmlformats.org/officeDocument/2006/relationships/hyperlink" Target="https://www.linkedin.com/learning/successful-networking?trk=ondemandfile" TargetMode="External"/><Relationship Id="rId147" Type="http://schemas.openxmlformats.org/officeDocument/2006/relationships/hyperlink" Target="https://www.linkedin.com/learning/communicating-with-confidence?trk=ondemandfile" TargetMode="External"/><Relationship Id="rId146" Type="http://schemas.openxmlformats.org/officeDocument/2006/relationships/hyperlink" Target="https://www.linkedin.com/learning/how-to-manage-office-politics?trk=ondemandfile" TargetMode="External"/><Relationship Id="rId145" Type="http://schemas.openxmlformats.org/officeDocument/2006/relationships/hyperlink" Target="https://www.linkedin.com/learning/how-to-talk-to-anyone-blinkist-summary?trk=ondemandfile" TargetMode="External"/><Relationship Id="rId144" Type="http://schemas.openxmlformats.org/officeDocument/2006/relationships/hyperlink" Target="https://www.linkedin.com/learning/we-need-to-talk-blinkist-summary?trk=ondemandfile" TargetMode="External"/><Relationship Id="rId139" Type="http://schemas.openxmlformats.org/officeDocument/2006/relationships/hyperlink" Target="https://www.linkedin.com/learning/leading-with-kindness-and-strength?trk=ondemandfile" TargetMode="External"/><Relationship Id="rId138" Type="http://schemas.openxmlformats.org/officeDocument/2006/relationships/hyperlink" Target="https://www.linkedin.com/learning/preparing-for-successful-communication?trk=ondemandfile" TargetMode="External"/><Relationship Id="rId137" Type="http://schemas.openxmlformats.org/officeDocument/2006/relationships/hyperlink" Target="https://www.linkedin.com/learning/improving-your-listening-skills?trk=ondemandfile" TargetMode="External"/><Relationship Id="rId132" Type="http://schemas.openxmlformats.org/officeDocument/2006/relationships/hyperlink" Target="https://www.linkedin.com/learning/negotiation-foundations?trk=ondemandfile" TargetMode="External"/><Relationship Id="rId131" Type="http://schemas.openxmlformats.org/officeDocument/2006/relationships/hyperlink" Target="https://www.linkedin.com/learning/asking-for-and-getting-what-you-want?trk=ondemandfile" TargetMode="External"/><Relationship Id="rId130" Type="http://schemas.openxmlformats.org/officeDocument/2006/relationships/hyperlink" Target="https://www.linkedin.com/learning/communicating-through-disagreement-2022?trk=ondemandfile" TargetMode="External"/><Relationship Id="rId136" Type="http://schemas.openxmlformats.org/officeDocument/2006/relationships/hyperlink" Target="https://www.linkedin.com/learning/building-trust-2018?trk=ondemandfile" TargetMode="External"/><Relationship Id="rId135" Type="http://schemas.openxmlformats.org/officeDocument/2006/relationships/hyperlink" Target="https://www.linkedin.com/learning/building-business-relationships-2?trk=ondemandfile" TargetMode="External"/><Relationship Id="rId134" Type="http://schemas.openxmlformats.org/officeDocument/2006/relationships/hyperlink" Target="https://www.linkedin.com/learning/present-a-techie-s-guide-to-public-speaking?trk=ondemandfile" TargetMode="External"/><Relationship Id="rId133" Type="http://schemas.openxmlformats.org/officeDocument/2006/relationships/hyperlink" Target="https://www.linkedin.com/learning/communicating-with-transparency?trk=ondemandfile" TargetMode="External"/><Relationship Id="rId172" Type="http://schemas.openxmlformats.org/officeDocument/2006/relationships/hyperlink" Target="https://www.linkedin.com/learning/learning-to-say-no-with-confidence-and-grace?trk=ondemandfile" TargetMode="External"/><Relationship Id="rId171" Type="http://schemas.openxmlformats.org/officeDocument/2006/relationships/hyperlink" Target="https://www.linkedin.com/learning/unlocking-authentic-communication-in-a-culturally-diverse-workplace?trk=ondemandfile" TargetMode="External"/><Relationship Id="rId170" Type="http://schemas.openxmlformats.org/officeDocument/2006/relationships/hyperlink" Target="https://www.linkedin.com/learning/communicating-across-cultures-virtually?trk=ondemandfile" TargetMode="External"/><Relationship Id="rId165" Type="http://schemas.openxmlformats.org/officeDocument/2006/relationships/hyperlink" Target="https://www.linkedin.com/learning/how-to-stand-out-remotely?trk=ondemandfile" TargetMode="External"/><Relationship Id="rId164" Type="http://schemas.openxmlformats.org/officeDocument/2006/relationships/hyperlink" Target="https://www.linkedin.com/learning/writing-and-delivering-speeches?trk=ondemandfile" TargetMode="External"/><Relationship Id="rId163" Type="http://schemas.openxmlformats.org/officeDocument/2006/relationships/hyperlink" Target="https://www.linkedin.com/learning/the-10-essentials-of-influence-and-persuasion?trk=ondemandfile" TargetMode="External"/><Relationship Id="rId162" Type="http://schemas.openxmlformats.org/officeDocument/2006/relationships/hyperlink" Target="https://www.linkedin.com/learning/backgrounder-netiquette?trk=ondemandfile" TargetMode="External"/><Relationship Id="rId169" Type="http://schemas.openxmlformats.org/officeDocument/2006/relationships/hyperlink" Target="https://www.linkedin.com/learning/influencing-others?trk=ondemandfile" TargetMode="External"/><Relationship Id="rId168" Type="http://schemas.openxmlformats.org/officeDocument/2006/relationships/hyperlink" Target="https://www.linkedin.com/learning/effective-listening?trk=ondemandfile" TargetMode="External"/><Relationship Id="rId167" Type="http://schemas.openxmlformats.org/officeDocument/2006/relationships/hyperlink" Target="https://www.linkedin.com/learning/building-a-more-authentic-workplace?trk=ondemandfile" TargetMode="External"/><Relationship Id="rId166" Type="http://schemas.openxmlformats.org/officeDocument/2006/relationships/hyperlink" Target="https://www.linkedin.com/learning/communicating-with-emotional-intelligence?trk=ondemandfile" TargetMode="External"/><Relationship Id="rId161" Type="http://schemas.openxmlformats.org/officeDocument/2006/relationships/hyperlink" Target="https://www.linkedin.com/learning/managing-your-emotions-at-work?trk=ondemandfile" TargetMode="External"/><Relationship Id="rId160" Type="http://schemas.openxmlformats.org/officeDocument/2006/relationships/hyperlink" Target="https://www.linkedin.com/learning/having-powerful-advanced-conversations?trk=ondemandfile" TargetMode="External"/><Relationship Id="rId159" Type="http://schemas.openxmlformats.org/officeDocument/2006/relationships/hyperlink" Target="https://www.linkedin.com/learning/listen-to-lead?trk=ondemandfile" TargetMode="External"/><Relationship Id="rId154" Type="http://schemas.openxmlformats.org/officeDocument/2006/relationships/hyperlink" Target="https://www.linkedin.com/learning/building-relationships-while-working-from-home?trk=ondemandfile" TargetMode="External"/><Relationship Id="rId153" Type="http://schemas.openxmlformats.org/officeDocument/2006/relationships/hyperlink" Target="https://www.linkedin.com/learning/how-to-own-a-room?trk=ondemandfile" TargetMode="External"/><Relationship Id="rId152" Type="http://schemas.openxmlformats.org/officeDocument/2006/relationships/hyperlink" Target="https://www.linkedin.com/learning/complete-confidence-in-minutes-weekly?trk=ondemandfile" TargetMode="External"/><Relationship Id="rId151" Type="http://schemas.openxmlformats.org/officeDocument/2006/relationships/hyperlink" Target="https://www.linkedin.com/learning/having-bold-and-inclusive-conversations?trk=ondemandfile" TargetMode="External"/><Relationship Id="rId158" Type="http://schemas.openxmlformats.org/officeDocument/2006/relationships/hyperlink" Target="https://www.linkedin.com/learning/a-step-by-step-guide-to-building-your-thought-leadership-on-linkedin-uk?trk=ondemandfile" TargetMode="External"/><Relationship Id="rId157" Type="http://schemas.openxmlformats.org/officeDocument/2006/relationships/hyperlink" Target="https://www.linkedin.com/learning/difficult-conversations-about-politics-at-work?trk=ondemandfile" TargetMode="External"/><Relationship Id="rId156" Type="http://schemas.openxmlformats.org/officeDocument/2006/relationships/hyperlink" Target="https://www.linkedin.com/learning/speaking-up-at-work?trk=ondemandfile" TargetMode="External"/><Relationship Id="rId155" Type="http://schemas.openxmlformats.org/officeDocument/2006/relationships/hyperlink" Target="https://www.linkedin.com/learning/difficult-conversations-talking-about-race-at-work?trk=ondemandfile" TargetMode="External"/><Relationship Id="rId107" Type="http://schemas.openxmlformats.org/officeDocument/2006/relationships/hyperlink" Target="https://www.linkedin.com/learning/becoming-an-impactful-and-influential-leader?trk=ondemandfile" TargetMode="External"/><Relationship Id="rId106" Type="http://schemas.openxmlformats.org/officeDocument/2006/relationships/hyperlink" Target="https://www.linkedin.com/learning/how-to-crush-self-doubt-and-build-self-confidence?trk=ondemandfile" TargetMode="External"/><Relationship Id="rId105" Type="http://schemas.openxmlformats.org/officeDocument/2006/relationships/hyperlink" Target="https://www.linkedin.com/learning/crucial-conversations-getabstract-summary?trk=ondemandfile" TargetMode="External"/><Relationship Id="rId104" Type="http://schemas.openxmlformats.org/officeDocument/2006/relationships/hyperlink" Target="https://www.linkedin.com/learning/jeffrey-gitomer-s-little-red-book-of-sales-answers-getabstract-summary?trk=ondemandfile" TargetMode="External"/><Relationship Id="rId109" Type="http://schemas.openxmlformats.org/officeDocument/2006/relationships/hyperlink" Target="https://www.linkedin.com/learning/the-science-of-compassion-the-upward-spiral-of-compassion?trk=ondemandfile" TargetMode="External"/><Relationship Id="rId108" Type="http://schemas.openxmlformats.org/officeDocument/2006/relationships/hyperlink" Target="https://www.linkedin.com/learning/the-power-of-introverts?trk=ondemandfile" TargetMode="External"/><Relationship Id="rId103" Type="http://schemas.openxmlformats.org/officeDocument/2006/relationships/hyperlink" Target="https://www.linkedin.com/learning/find-your-passion-how-padma-lakshmi-found-hers?trk=ondemandfile" TargetMode="External"/><Relationship Id="rId102" Type="http://schemas.openxmlformats.org/officeDocument/2006/relationships/hyperlink" Target="https://www.linkedin.com/learning/learning-webex-meetings-2?trk=ondemandfile" TargetMode="External"/><Relationship Id="rId101" Type="http://schemas.openxmlformats.org/officeDocument/2006/relationships/hyperlink" Target="https://www.linkedin.com/learning/the-ideal-team-player-getabstract-summary?trk=ondemandfile" TargetMode="External"/><Relationship Id="rId100" Type="http://schemas.openxmlformats.org/officeDocument/2006/relationships/hyperlink" Target="https://www.linkedin.com/learning/social-success-at-work?trk=ondemandfile" TargetMode="External"/><Relationship Id="rId129" Type="http://schemas.openxmlformats.org/officeDocument/2006/relationships/hyperlink" Target="https://www.linkedin.com/learning/telling-stories-that-stick?trk=ondemandfile" TargetMode="External"/><Relationship Id="rId128" Type="http://schemas.openxmlformats.org/officeDocument/2006/relationships/hyperlink" Target="https://www.linkedin.com/learning/building-inclusive-work-communities?trk=ondemandfile" TargetMode="External"/><Relationship Id="rId127" Type="http://schemas.openxmlformats.org/officeDocument/2006/relationships/hyperlink" Target="https://www.linkedin.com/learning/talking-boldly-when-inclusion-meets-politics-at-the-office?trk=ondemandfile" TargetMode="External"/><Relationship Id="rId126" Type="http://schemas.openxmlformats.org/officeDocument/2006/relationships/hyperlink" Target="https://www.linkedin.com/learning/becoming-a-great-conversationalist?trk=ondemandfile" TargetMode="External"/><Relationship Id="rId121" Type="http://schemas.openxmlformats.org/officeDocument/2006/relationships/hyperlink" Target="https://www.linkedin.com/learning/influence-without-authority-getabstract-summary?trk=ondemandfile" TargetMode="External"/><Relationship Id="rId120" Type="http://schemas.openxmlformats.org/officeDocument/2006/relationships/hyperlink" Target="https://www.linkedin.com/learning/how-to-be-both-assertive-and-likable?trk=ondemandfile" TargetMode="External"/><Relationship Id="rId125" Type="http://schemas.openxmlformats.org/officeDocument/2006/relationships/hyperlink" Target="https://www.linkedin.com/learning/how-to-speak-so-people-want-to-listen?trk=ondemandfile" TargetMode="External"/><Relationship Id="rId124" Type="http://schemas.openxmlformats.org/officeDocument/2006/relationships/hyperlink" Target="https://www.linkedin.com/learning/how-to-listen-and-how-to-be-heard-getabstract-summary?trk=ondemandfile" TargetMode="External"/><Relationship Id="rId123" Type="http://schemas.openxmlformats.org/officeDocument/2006/relationships/hyperlink" Target="https://www.linkedin.com/learning/how-to-persuade-when-facts-don-t-seem-to-matter?trk=ondemandfile" TargetMode="External"/><Relationship Id="rId122" Type="http://schemas.openxmlformats.org/officeDocument/2006/relationships/hyperlink" Target="https://www.linkedin.com/learning/articulating-your-value?trk=ondemandfile" TargetMode="External"/><Relationship Id="rId118" Type="http://schemas.openxmlformats.org/officeDocument/2006/relationships/hyperlink" Target="https://www.linkedin.com/learning/centered-communication-get-better-results-from-your-conversations?trk=ondemandfile" TargetMode="External"/><Relationship Id="rId117" Type="http://schemas.openxmlformats.org/officeDocument/2006/relationships/hyperlink" Target="https://www.linkedin.com/learning/becoming-assertive?trk=ondemandfile" TargetMode="External"/><Relationship Id="rId116" Type="http://schemas.openxmlformats.org/officeDocument/2006/relationships/hyperlink" Target="https://www.linkedin.com/learning/practical-influencing-techniques?trk=ondemandfile" TargetMode="External"/><Relationship Id="rId115" Type="http://schemas.openxmlformats.org/officeDocument/2006/relationships/hyperlink" Target="https://www.linkedin.com/learning/media-relations-foundations?trk=ondemandfile" TargetMode="External"/><Relationship Id="rId119" Type="http://schemas.openxmlformats.org/officeDocument/2006/relationships/hyperlink" Target="https://www.linkedin.com/learning/three-tips-for-managing-egos-and-difficult-emotions?trk=ondemandfile" TargetMode="External"/><Relationship Id="rId110" Type="http://schemas.openxmlformats.org/officeDocument/2006/relationships/hyperlink" Target="https://www.linkedin.com/learning/the-science-of-compassion-an-introduction?trk=ondemandfile" TargetMode="External"/><Relationship Id="rId114" Type="http://schemas.openxmlformats.org/officeDocument/2006/relationships/hyperlink" Target="https://www.linkedin.com/learning/how-to-win-arguments?trk=ondemandfile" TargetMode="External"/><Relationship Id="rId113" Type="http://schemas.openxmlformats.org/officeDocument/2006/relationships/hyperlink" Target="https://www.linkedin.com/learning/constructive-candor-important-conversations-with-coworkers-family-and-friends?trk=ondemandfile" TargetMode="External"/><Relationship Id="rId112" Type="http://schemas.openxmlformats.org/officeDocument/2006/relationships/hyperlink" Target="https://www.linkedin.com/learning/communication-within-teams?trk=ondemandfile" TargetMode="External"/><Relationship Id="rId111" Type="http://schemas.openxmlformats.org/officeDocument/2006/relationships/hyperlink" Target="https://www.linkedin.com/learning/inspirational-leadership-skills-practical-motivational-leadership?trk=ondemandfile"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linkedin.com/learning/pricing-strategy-value-based-pricing?trk=ondemandfile" TargetMode="External"/><Relationship Id="rId2" Type="http://schemas.openxmlformats.org/officeDocument/2006/relationships/hyperlink" Target="https://www.linkedin.com/learning/paths/become-an-ama-professional-certified-marketer-in-digital-marketing?trk=ondemandfile" TargetMode="External"/><Relationship Id="rId3" Type="http://schemas.openxmlformats.org/officeDocument/2006/relationships/hyperlink" Target="https://www.linkedin.com/learning/building-creative-organizations-2?trk=ondemandfile" TargetMode="External"/><Relationship Id="rId4" Type="http://schemas.openxmlformats.org/officeDocument/2006/relationships/hyperlink" Target="https://www.linkedin.com/learning/paths/fostering-innovation?trk=ondemandfile" TargetMode="External"/><Relationship Id="rId9" Type="http://schemas.openxmlformats.org/officeDocument/2006/relationships/hyperlink" Target="https://www.linkedin.com/learning/cmo-foundations-measuring-marketing-effectiveness-roi?trk=ondemandfile" TargetMode="External"/><Relationship Id="rId5" Type="http://schemas.openxmlformats.org/officeDocument/2006/relationships/hyperlink" Target="https://www.linkedin.com/learning/cmo-foundations-creating-a-marketing-culture?trk=ondemandfile" TargetMode="External"/><Relationship Id="rId6" Type="http://schemas.openxmlformats.org/officeDocument/2006/relationships/hyperlink" Target="https://www.linkedin.com/learning/paths/become-a-content-strategist-2?trk=ondemandfile" TargetMode="External"/><Relationship Id="rId7" Type="http://schemas.openxmlformats.org/officeDocument/2006/relationships/hyperlink" Target="https://www.linkedin.com/learning/agile-software-development-creating-an-agile-culture?trk=ondemandfile" TargetMode="External"/><Relationship Id="rId8" Type="http://schemas.openxmlformats.org/officeDocument/2006/relationships/hyperlink" Target="https://www.linkedin.com/learning/paths/develop-your-creative-thinking-and-innovation-skills?trk=ondemandfile" TargetMode="External"/><Relationship Id="rId40" Type="http://schemas.openxmlformats.org/officeDocument/2006/relationships/hyperlink" Target="https://www.linkedin.com/learning/integrated-marketing-communication-strategies?trk=ondemandfile" TargetMode="External"/><Relationship Id="rId42" Type="http://schemas.openxmlformats.org/officeDocument/2006/relationships/hyperlink" Target="https://www.linkedin.com/learning/strategic-focus-for-managers?trk=ondemandfile" TargetMode="External"/><Relationship Id="rId41" Type="http://schemas.openxmlformats.org/officeDocument/2006/relationships/hyperlink" Target="https://www.linkedin.com/learning/paths/become-a-marketing-manager?trk=ondemandfile" TargetMode="External"/><Relationship Id="rId44" Type="http://schemas.openxmlformats.org/officeDocument/2006/relationships/hyperlink" Target="https://www.linkedin.com/learning/paths/develop-your-marketing-skills?trk=ondemandfile" TargetMode="External"/><Relationship Id="rId43" Type="http://schemas.openxmlformats.org/officeDocument/2006/relationships/hyperlink" Target="https://www.linkedin.com/learning/seo-competitive-analysis?trk=ondemandfile" TargetMode="External"/><Relationship Id="rId46" Type="http://schemas.openxmlformats.org/officeDocument/2006/relationships/hyperlink" Target="https://www.linkedin.com/learning/marketing-tools-seo-8551757?trk=ondemandfile" TargetMode="External"/><Relationship Id="rId45" Type="http://schemas.openxmlformats.org/officeDocument/2006/relationships/hyperlink" Target="https://www.linkedin.com/learning/unleash-your-team-s-creativity?trk=ondemandfile" TargetMode="External"/><Relationship Id="rId48" Type="http://schemas.openxmlformats.org/officeDocument/2006/relationships/hyperlink" Target="https://www.linkedin.com/learning/using-questions-to-coach-and-lead?trk=ondemandfile" TargetMode="External"/><Relationship Id="rId47" Type="http://schemas.openxmlformats.org/officeDocument/2006/relationships/hyperlink" Target="https://www.linkedin.com/learning/paths/improve-your-digital-marketing-skills?trk=ondemandfile" TargetMode="External"/><Relationship Id="rId49" Type="http://schemas.openxmlformats.org/officeDocument/2006/relationships/hyperlink" Target="https://www.linkedin.com/learning/building-an-integrated-online-marketing-plan?trk=ondemandfile" TargetMode="External"/><Relationship Id="rId31" Type="http://schemas.openxmlformats.org/officeDocument/2006/relationships/hyperlink" Target="https://www.linkedin.com/learning/social-media-marketing-tips-8570680?trk=ondemandfile" TargetMode="External"/><Relationship Id="rId30" Type="http://schemas.openxmlformats.org/officeDocument/2006/relationships/hyperlink" Target="https://www.linkedin.com/learning/innovating-out-of-crisis?trk=ondemandfile" TargetMode="External"/><Relationship Id="rId33" Type="http://schemas.openxmlformats.org/officeDocument/2006/relationships/hyperlink" Target="https://www.linkedin.com/learning/executing-on-innovation-a-process-that-scales?trk=ondemandfile" TargetMode="External"/><Relationship Id="rId32" Type="http://schemas.openxmlformats.org/officeDocument/2006/relationships/hyperlink" Target="https://www.linkedin.com/learning/paths/become-a-public-relations-specialist?trk=ondemandfile" TargetMode="External"/><Relationship Id="rId35" Type="http://schemas.openxmlformats.org/officeDocument/2006/relationships/hyperlink" Target="https://www.linkedin.com/learning/paths/become-a-social-media-advertising-specialist?trk=ondemandfile" TargetMode="External"/><Relationship Id="rId34" Type="http://schemas.openxmlformats.org/officeDocument/2006/relationships/hyperlink" Target="https://www.linkedin.com/learning/job-interview-tips-for-marketing-managers?trk=ondemandfile" TargetMode="External"/><Relationship Id="rId37" Type="http://schemas.openxmlformats.org/officeDocument/2006/relationships/hyperlink" Target="https://www.linkedin.com/learning/advertising-on-linkedin-8986011?trk=ondemandfile" TargetMode="External"/><Relationship Id="rId36" Type="http://schemas.openxmlformats.org/officeDocument/2006/relationships/hyperlink" Target="https://www.linkedin.com/learning/futures-centered-design?trk=ondemandfile" TargetMode="External"/><Relationship Id="rId39" Type="http://schemas.openxmlformats.org/officeDocument/2006/relationships/hyperlink" Target="https://www.linkedin.com/learning/balancing-innovation-and-risk?trk=ondemandfile" TargetMode="External"/><Relationship Id="rId38" Type="http://schemas.openxmlformats.org/officeDocument/2006/relationships/hyperlink" Target="https://www.linkedin.com/learning/paths/become-a-social-media-marketer?trk=ondemandfile" TargetMode="External"/><Relationship Id="rId20" Type="http://schemas.openxmlformats.org/officeDocument/2006/relationships/hyperlink" Target="https://www.linkedin.com/learning/paths/stay-competitive-using-design-thinking?trk=ondemandfile" TargetMode="External"/><Relationship Id="rId22" Type="http://schemas.openxmlformats.org/officeDocument/2006/relationships/hyperlink" Target="https://www.linkedin.com/learning/paths/become-a-marketing-coordinator?trk=ondemandfile" TargetMode="External"/><Relationship Id="rId21" Type="http://schemas.openxmlformats.org/officeDocument/2006/relationships/hyperlink" Target="https://www.linkedin.com/learning/leading-a-marketing-team?trk=ondemandfile" TargetMode="External"/><Relationship Id="rId24" Type="http://schemas.openxmlformats.org/officeDocument/2006/relationships/hyperlink" Target="https://www.linkedin.com/learning/paths/working-with-creatives-2?trk=ondemandfile" TargetMode="External"/><Relationship Id="rId23" Type="http://schemas.openxmlformats.org/officeDocument/2006/relationships/hyperlink" Target="https://www.linkedin.com/learning/lean-technology-strategy-managing-the-innovation-portfolio?trk=ondemandfile" TargetMode="External"/><Relationship Id="rId26" Type="http://schemas.openxmlformats.org/officeDocument/2006/relationships/hyperlink" Target="https://www.linkedin.com/learning/paths/become-a-marketing-specialist-2?trk=ondemandfile" TargetMode="External"/><Relationship Id="rId25" Type="http://schemas.openxmlformats.org/officeDocument/2006/relationships/hyperlink" Target="https://www.linkedin.com/learning/seo-link-building?trk=ondemandfile" TargetMode="External"/><Relationship Id="rId28" Type="http://schemas.openxmlformats.org/officeDocument/2006/relationships/hyperlink" Target="https://www.linkedin.com/learning/marketing-tools-growth-marketing?trk=ondemandfile" TargetMode="External"/><Relationship Id="rId27" Type="http://schemas.openxmlformats.org/officeDocument/2006/relationships/hyperlink" Target="https://www.linkedin.com/learning/service-innovation?trk=ondemandfile" TargetMode="External"/><Relationship Id="rId29" Type="http://schemas.openxmlformats.org/officeDocument/2006/relationships/hyperlink" Target="https://www.linkedin.com/learning/paths/become-an-online-marketing-manager?trk=ondemandfile" TargetMode="External"/><Relationship Id="rId11" Type="http://schemas.openxmlformats.org/officeDocument/2006/relationships/hyperlink" Target="https://www.linkedin.com/learning/leading-with-innovation?trk=ondemandfile" TargetMode="External"/><Relationship Id="rId10" Type="http://schemas.openxmlformats.org/officeDocument/2006/relationships/hyperlink" Target="https://www.linkedin.com/learning/paths/become-a-digital-advertising-specialist?trk=ondemandfile" TargetMode="External"/><Relationship Id="rId13" Type="http://schemas.openxmlformats.org/officeDocument/2006/relationships/hyperlink" Target="https://www.linkedin.com/learning/blue-ocean-shift?trk=ondemandfile" TargetMode="External"/><Relationship Id="rId12" Type="http://schemas.openxmlformats.org/officeDocument/2006/relationships/hyperlink" Target="https://www.linkedin.com/learning/paths/improve-your-creativity-skills?trk=ondemandfile" TargetMode="External"/><Relationship Id="rId15" Type="http://schemas.openxmlformats.org/officeDocument/2006/relationships/hyperlink" Target="https://www.linkedin.com/learning/mapping-innovation-a-playbook-for-navigating-a-disruptive-age-getabstract-summary?trk=ondemandfile" TargetMode="External"/><Relationship Id="rId14" Type="http://schemas.openxmlformats.org/officeDocument/2006/relationships/hyperlink" Target="https://www.linkedin.com/learning/paths/become-a-digital-marketing-specialist?trk=ondemandfile" TargetMode="External"/><Relationship Id="rId17" Type="http://schemas.openxmlformats.org/officeDocument/2006/relationships/hyperlink" Target="https://www.linkedin.com/learning/brand-leadership-building-brand-and-culture?trk=ondemandfile" TargetMode="External"/><Relationship Id="rId16" Type="http://schemas.openxmlformats.org/officeDocument/2006/relationships/hyperlink" Target="https://www.linkedin.com/learning/paths/improve-your-problem-solving-skills?trk=ondemandfile" TargetMode="External"/><Relationship Id="rId19" Type="http://schemas.openxmlformats.org/officeDocument/2006/relationships/hyperlink" Target="https://www.linkedin.com/learning/built-to-last-successful-habits-of-visionary-companies?trk=ondemandfile" TargetMode="External"/><Relationship Id="rId18" Type="http://schemas.openxmlformats.org/officeDocument/2006/relationships/hyperlink" Target="https://www.linkedin.com/learning/paths/become-a-digital-marketer?trk=ondemandfile" TargetMode="External"/><Relationship Id="rId84" Type="http://schemas.openxmlformats.org/officeDocument/2006/relationships/hyperlink" Target="https://www.linkedin.com/learning/social-media-video-for-business-and-marketing?trk=ondemandfile" TargetMode="External"/><Relationship Id="rId83" Type="http://schemas.openxmlformats.org/officeDocument/2006/relationships/hyperlink" Target="https://www.linkedin.com/learning/charles-adler-a-story-of-kickstarting-an-idea?trk=ondemandfile" TargetMode="External"/><Relationship Id="rId86" Type="http://schemas.openxmlformats.org/officeDocument/2006/relationships/hyperlink" Target="https://www.linkedin.com/learning/creating-marketing-objectives?trk=ondemandfile" TargetMode="External"/><Relationship Id="rId85" Type="http://schemas.openxmlformats.org/officeDocument/2006/relationships/hyperlink" Target="https://www.linkedin.com/learning/practical-creativity-for-everyone?trk=ondemandfile" TargetMode="External"/><Relationship Id="rId88" Type="http://schemas.openxmlformats.org/officeDocument/2006/relationships/hyperlink" Target="https://www.linkedin.com/learning/determining-market-size-for-your-product-or-service?trk=ondemandfile" TargetMode="External"/><Relationship Id="rId87" Type="http://schemas.openxmlformats.org/officeDocument/2006/relationships/hyperlink" Target="https://www.linkedin.com/learning/graphic-design-foundations-ideas-concepts-and-form?trk=ondemandfile" TargetMode="External"/><Relationship Id="rId89" Type="http://schemas.openxmlformats.org/officeDocument/2006/relationships/hyperlink" Target="https://www.linkedin.com/learning/applied-curiosity?trk=ondemandfile" TargetMode="External"/><Relationship Id="rId80" Type="http://schemas.openxmlformats.org/officeDocument/2006/relationships/hyperlink" Target="https://www.linkedin.com/learning/marketing-on-linkedin-the-sophisticated-marketer-s-guide?trk=ondemandfile" TargetMode="External"/><Relationship Id="rId82" Type="http://schemas.openxmlformats.org/officeDocument/2006/relationships/hyperlink" Target="https://www.linkedin.com/learning/building-a-creative-online-community?trk=ondemandfile" TargetMode="External"/><Relationship Id="rId81" Type="http://schemas.openxmlformats.org/officeDocument/2006/relationships/hyperlink" Target="https://www.linkedin.com/learning/design-thinking-implementing-the-process?trk=ondemandfile" TargetMode="External"/><Relationship Id="rId73" Type="http://schemas.openxmlformats.org/officeDocument/2006/relationships/hyperlink" Target="https://www.linkedin.com/learning/four-simple-strategies-to-boost-creativity-and-productivity?trk=ondemandfile" TargetMode="External"/><Relationship Id="rId72" Type="http://schemas.openxmlformats.org/officeDocument/2006/relationships/hyperlink" Target="https://www.linkedin.com/learning/lifecycle-marketing-foundations?trk=ondemandfile" TargetMode="External"/><Relationship Id="rId75" Type="http://schemas.openxmlformats.org/officeDocument/2006/relationships/hyperlink" Target="https://www.linkedin.com/learning/business-innovation-foundations-2020?trk=ondemandfile" TargetMode="External"/><Relationship Id="rId74" Type="http://schemas.openxmlformats.org/officeDocument/2006/relationships/hyperlink" Target="https://www.linkedin.com/learning/marketing-your-side-hustle?trk=ondemandfile" TargetMode="External"/><Relationship Id="rId77" Type="http://schemas.openxmlformats.org/officeDocument/2006/relationships/hyperlink" Target="https://www.linkedin.com/learning/introduction-to-responsible-ai-algorithm-design?trk=ondemandfile" TargetMode="External"/><Relationship Id="rId76" Type="http://schemas.openxmlformats.org/officeDocument/2006/relationships/hyperlink" Target="https://www.linkedin.com/learning/marketing-tips-2?trk=ondemandfile" TargetMode="External"/><Relationship Id="rId79" Type="http://schemas.openxmlformats.org/officeDocument/2006/relationships/hyperlink" Target="https://www.linkedin.com/learning/how-blockchains-will-change-business?trk=ondemandfile" TargetMode="External"/><Relationship Id="rId78" Type="http://schemas.openxmlformats.org/officeDocument/2006/relationships/hyperlink" Target="https://www.linkedin.com/learning/marketing-to-humans?trk=ondemandfile" TargetMode="External"/><Relationship Id="rId71" Type="http://schemas.openxmlformats.org/officeDocument/2006/relationships/hyperlink" Target="https://www.linkedin.com/learning/the-4-lenses-of-innovation-getabstract-summary?trk=ondemandfile" TargetMode="External"/><Relationship Id="rId70" Type="http://schemas.openxmlformats.org/officeDocument/2006/relationships/hyperlink" Target="https://www.linkedin.com/learning/growth-hacking-foundations?trk=ondemandfile" TargetMode="External"/><Relationship Id="rId62" Type="http://schemas.openxmlformats.org/officeDocument/2006/relationships/hyperlink" Target="https://www.linkedin.com/learning/advanced-content-marketing?trk=ondemandfile" TargetMode="External"/><Relationship Id="rId61" Type="http://schemas.openxmlformats.org/officeDocument/2006/relationships/hyperlink" Target="https://www.linkedin.com/learning/boosting-your-team-s-creativity-and-green-lighting-ideas?trk=ondemandfile" TargetMode="External"/><Relationship Id="rId64" Type="http://schemas.openxmlformats.org/officeDocument/2006/relationships/hyperlink" Target="https://www.linkedin.com/learning/advanced-google-ads?trk=ondemandfile" TargetMode="External"/><Relationship Id="rId63" Type="http://schemas.openxmlformats.org/officeDocument/2006/relationships/hyperlink" Target="https://www.linkedin.com/learning/the-five-step-creative-process?trk=ondemandfile" TargetMode="External"/><Relationship Id="rId66" Type="http://schemas.openxmlformats.org/officeDocument/2006/relationships/hyperlink" Target="https://www.linkedin.com/learning/advanced-facebook-advertising-2021?trk=ondemandfile" TargetMode="External"/><Relationship Id="rId65" Type="http://schemas.openxmlformats.org/officeDocument/2006/relationships/hyperlink" Target="https://www.linkedin.com/learning/building-a-creative-online-community?trk=ondemandfile" TargetMode="External"/><Relationship Id="rId68" Type="http://schemas.openxmlformats.org/officeDocument/2006/relationships/hyperlink" Target="https://www.linkedin.com/learning/digital-marketing-trends?trk=ondemandfile" TargetMode="External"/><Relationship Id="rId67" Type="http://schemas.openxmlformats.org/officeDocument/2006/relationships/hyperlink" Target="https://www.linkedin.com/learning/icebreakers-for-teams-meetings-and-groups?trk=ondemandfile" TargetMode="External"/><Relationship Id="rId60" Type="http://schemas.openxmlformats.org/officeDocument/2006/relationships/hyperlink" Target="https://www.linkedin.com/learning/advertising-on-fac-ebook-advanced-2020?trk=ondemandfile" TargetMode="External"/><Relationship Id="rId69" Type="http://schemas.openxmlformats.org/officeDocument/2006/relationships/hyperlink" Target="https://www.linkedin.com/learning/how-getting-curious-helps-you-achieve-everything?trk=ondemandfile" TargetMode="External"/><Relationship Id="rId51" Type="http://schemas.openxmlformats.org/officeDocument/2006/relationships/hyperlink" Target="https://www.linkedin.com/learning/the-business-case-for-creativity?trk=ondemandfile" TargetMode="External"/><Relationship Id="rId50" Type="http://schemas.openxmlformats.org/officeDocument/2006/relationships/hyperlink" Target="https://www.linkedin.com/learning/paths/master-digital-marketing?trk=ondemandfile" TargetMode="External"/><Relationship Id="rId53" Type="http://schemas.openxmlformats.org/officeDocument/2006/relationships/hyperlink" Target="https://www.linkedin.com/learning/creative-thinking-strategies-for-leaders?trk=ondemandfile" TargetMode="External"/><Relationship Id="rId52" Type="http://schemas.openxmlformats.org/officeDocument/2006/relationships/hyperlink" Target="https://www.linkedin.com/learning/advanced-seo-search-factors-2?trk=ondemandfile" TargetMode="External"/><Relationship Id="rId55" Type="http://schemas.openxmlformats.org/officeDocument/2006/relationships/hyperlink" Target="https://www.linkedin.com/learning/developing-your-creativity-as-a-leader?trk=ondemandfile" TargetMode="External"/><Relationship Id="rId54" Type="http://schemas.openxmlformats.org/officeDocument/2006/relationships/hyperlink" Target="https://www.linkedin.com/learning/advanced-product-marketing?trk=ondemandfile" TargetMode="External"/><Relationship Id="rId57" Type="http://schemas.openxmlformats.org/officeDocument/2006/relationships/hyperlink" Target="https://www.linkedin.com/learning/creative-thinking?trk=ondemandfile" TargetMode="External"/><Relationship Id="rId56" Type="http://schemas.openxmlformats.org/officeDocument/2006/relationships/hyperlink" Target="https://www.linkedin.com/learning/advanced-lead-generation-2019?trk=ondemandfile" TargetMode="External"/><Relationship Id="rId59" Type="http://schemas.openxmlformats.org/officeDocument/2006/relationships/hyperlink" Target="https://www.linkedin.com/learning/brainstorming-basics?trk=ondemandfile" TargetMode="External"/><Relationship Id="rId58" Type="http://schemas.openxmlformats.org/officeDocument/2006/relationships/hyperlink" Target="https://www.linkedin.com/learning/advanced-google-analytics-4?trk=ondemandfile" TargetMode="External"/><Relationship Id="rId95" Type="http://schemas.openxmlformats.org/officeDocument/2006/relationships/hyperlink" Target="https://www.linkedin.com/learning/illustrator-cc-2018-one-on-one-advanced-revision-2?trk=ondemandfile" TargetMode="External"/><Relationship Id="rId94" Type="http://schemas.openxmlformats.org/officeDocument/2006/relationships/hyperlink" Target="https://www.linkedin.com/learning/content-marketing-newsletters-2?trk=ondemandfile" TargetMode="External"/><Relationship Id="rId97" Type="http://schemas.openxmlformats.org/officeDocument/2006/relationships/hyperlink" Target="https://www.linkedin.com/learning/how-to-boost-your-creativity-at-home-in-10-days?trk=ondemandfile" TargetMode="External"/><Relationship Id="rId96" Type="http://schemas.openxmlformats.org/officeDocument/2006/relationships/hyperlink" Target="https://www.linkedin.com/learning/identifying-your-target-market?trk=ondemandfile" TargetMode="External"/><Relationship Id="rId99" Type="http://schemas.openxmlformats.org/officeDocument/2006/relationships/hyperlink" Target="https://www.linkedin.com/learning/21-day-creative-exercise-desk-challenge?trk=ondemandfile" TargetMode="External"/><Relationship Id="rId98" Type="http://schemas.openxmlformats.org/officeDocument/2006/relationships/hyperlink" Target="https://www.linkedin.com/learning/market-research-foundations?trk=ondemandfile" TargetMode="External"/><Relationship Id="rId91" Type="http://schemas.openxmlformats.org/officeDocument/2006/relationships/hyperlink" Target="https://www.linkedin.com/learning/creativity-generate-ideas-in-greater-quantity-and-quality?trk=ondemandfile" TargetMode="External"/><Relationship Id="rId90" Type="http://schemas.openxmlformats.org/officeDocument/2006/relationships/hyperlink" Target="https://www.linkedin.com/learning/social-media-marketing-tips?trk=ondemandfile" TargetMode="External"/><Relationship Id="rId93" Type="http://schemas.openxmlformats.org/officeDocument/2006/relationships/hyperlink" Target="https://www.linkedin.com/learning/creativity-for-all?trk=ondemandfile" TargetMode="External"/><Relationship Id="rId92" Type="http://schemas.openxmlformats.org/officeDocument/2006/relationships/hyperlink" Target="https://www.linkedin.com/learning/marketing-foundations-automation?trk=ondemandfile" TargetMode="External"/><Relationship Id="rId220" Type="http://schemas.openxmlformats.org/officeDocument/2006/relationships/hyperlink" Target="https://www.linkedin.com/learning/marketing-attribution-and-mix-modeling?trk=ondemandfile" TargetMode="External"/><Relationship Id="rId221" Type="http://schemas.openxmlformats.org/officeDocument/2006/relationships/drawing" Target="../drawings/drawing8.xml"/><Relationship Id="rId217" Type="http://schemas.openxmlformats.org/officeDocument/2006/relationships/hyperlink" Target="https://www.linkedin.com/learning/marketing-copywriting-for-social-media?trk=ondemandfile" TargetMode="External"/><Relationship Id="rId216" Type="http://schemas.openxmlformats.org/officeDocument/2006/relationships/hyperlink" Target="https://www.linkedin.com/learning/consumer-behavior-trends-meet-the-postmodern-consumer?trk=ondemandfile" TargetMode="External"/><Relationship Id="rId215" Type="http://schemas.openxmlformats.org/officeDocument/2006/relationships/hyperlink" Target="https://www.linkedin.com/learning/social-media-marketing-roi-2021?trk=ondemandfile" TargetMode="External"/><Relationship Id="rId214" Type="http://schemas.openxmlformats.org/officeDocument/2006/relationships/hyperlink" Target="https://www.linkedin.com/learning/advanced-branding-facelift-q1-2021?trk=ondemandfile" TargetMode="External"/><Relationship Id="rId219" Type="http://schemas.openxmlformats.org/officeDocument/2006/relationships/hyperlink" Target="https://www.linkedin.com/learning/lead-generation-multi-channel-ppc-strategy?trk=ondemandfile" TargetMode="External"/><Relationship Id="rId218" Type="http://schemas.openxmlformats.org/officeDocument/2006/relationships/hyperlink" Target="https://www.linkedin.com/learning/ar-marketing-strategies?trk=ondemandfile" TargetMode="External"/><Relationship Id="rId213" Type="http://schemas.openxmlformats.org/officeDocument/2006/relationships/hyperlink" Target="https://www.linkedin.com/learning/remarketing-strategies-with-google-ads-and-analytics?trk=ondemandfile" TargetMode="External"/><Relationship Id="rId212" Type="http://schemas.openxmlformats.org/officeDocument/2006/relationships/hyperlink" Target="https://www.linkedin.com/learning/seo-ecommerce-strategies?trk=ondemandfile" TargetMode="External"/><Relationship Id="rId211" Type="http://schemas.openxmlformats.org/officeDocument/2006/relationships/hyperlink" Target="https://www.linkedin.com/learning/social-selling-reaching-prospects?trk=ondemandfile" TargetMode="External"/><Relationship Id="rId210" Type="http://schemas.openxmlformats.org/officeDocument/2006/relationships/hyperlink" Target="https://www.linkedin.com/learning/market-research-qualitative?trk=ondemandfile" TargetMode="External"/><Relationship Id="rId206" Type="http://schemas.openxmlformats.org/officeDocument/2006/relationships/hyperlink" Target="https://www.linkedin.com/learning/python-for-marketing?trk=ondemandfile" TargetMode="External"/><Relationship Id="rId205" Type="http://schemas.openxmlformats.org/officeDocument/2006/relationships/hyperlink" Target="https://www.linkedin.com/learning/aligning-sales-and-marketing?trk=ondemandfile" TargetMode="External"/><Relationship Id="rId204" Type="http://schemas.openxmlformats.org/officeDocument/2006/relationships/hyperlink" Target="https://www.linkedin.com/learning/seo-videos-2020?trk=ondemandfile" TargetMode="External"/><Relationship Id="rId203" Type="http://schemas.openxmlformats.org/officeDocument/2006/relationships/hyperlink" Target="https://www.linkedin.com/learning/seo-keyword-stra-tegy-2020?trk=ondemandfile" TargetMode="External"/><Relationship Id="rId209" Type="http://schemas.openxmlformats.org/officeDocument/2006/relationships/hyperlink" Target="https://www.linkedin.com/learning/become-a-marketing-entrepreneur?trk=ondemandfile" TargetMode="External"/><Relationship Id="rId208" Type="http://schemas.openxmlformats.org/officeDocument/2006/relationships/hyperlink" Target="https://www.linkedin.com/learning/employer-branding-on-linkedin?trk=ondemandfile" TargetMode="External"/><Relationship Id="rId207" Type="http://schemas.openxmlformats.org/officeDocument/2006/relationships/hyperlink" Target="https://www.linkedin.com/learning/17-questions-to-help-improve-your-marketing?trk=ondemandfile" TargetMode="External"/><Relationship Id="rId202" Type="http://schemas.openxmlformats.org/officeDocument/2006/relationships/hyperlink" Target="https://www.linkedin.com/learning/social-media-marketing-optimization-2?trk=ondemandfile" TargetMode="External"/><Relationship Id="rId201" Type="http://schemas.openxmlformats.org/officeDocument/2006/relationships/hyperlink" Target="https://www.linkedin.com/learning/improve-seo-for-your-ecommerce-site?trk=ondemandfile" TargetMode="External"/><Relationship Id="rId200" Type="http://schemas.openxmlformats.org/officeDocument/2006/relationships/hyperlink" Target="https://www.linkedin.com/learning/growth-hacking-tips-2?trk=ondemandfile" TargetMode="External"/><Relationship Id="rId190" Type="http://schemas.openxmlformats.org/officeDocument/2006/relationships/hyperlink" Target="https://www.linkedin.com/learning/creating-linkedin-newsletters?trk=ondemandfile" TargetMode="External"/><Relationship Id="rId194" Type="http://schemas.openxmlformats.org/officeDocument/2006/relationships/hyperlink" Target="https://www.linkedin.com/learning/advertising-on-pinterest-2?trk=ondemandfile" TargetMode="External"/><Relationship Id="rId193" Type="http://schemas.openxmlformats.org/officeDocument/2006/relationships/hyperlink" Target="https://www.linkedin.com/learning/b2b-marketing-foundations-positioning?trk=ondemandfile" TargetMode="External"/><Relationship Id="rId192" Type="http://schemas.openxmlformats.org/officeDocument/2006/relationships/hyperlink" Target="https://www.linkedin.com/learning/social-media-marketing-trends?trk=ondemandfile" TargetMode="External"/><Relationship Id="rId191" Type="http://schemas.openxmlformats.org/officeDocument/2006/relationships/hyperlink" Target="https://www.linkedin.com/learning/linkedin-creator-posting-strategy?trk=ondemandfile" TargetMode="External"/><Relationship Id="rId187" Type="http://schemas.openxmlformats.org/officeDocument/2006/relationships/hyperlink" Target="https://www.linkedin.com/learning/marketing-during-a-crisis?trk=ondemandfile" TargetMode="External"/><Relationship Id="rId186" Type="http://schemas.openxmlformats.org/officeDocument/2006/relationships/hyperlink" Target="https://www.linkedin.com/learning/introduction-to-content-marketing-2?trk=ondemandfile" TargetMode="External"/><Relationship Id="rId185" Type="http://schemas.openxmlformats.org/officeDocument/2006/relationships/hyperlink" Target="https://www.linkedin.com/learning/seo-foundations?trk=ondemandfile" TargetMode="External"/><Relationship Id="rId184" Type="http://schemas.openxmlformats.org/officeDocument/2006/relationships/hyperlink" Target="https://www.linkedin.com/learning/jonah-berger-on-viral-marketing?trk=ondemandfile" TargetMode="External"/><Relationship Id="rId189" Type="http://schemas.openxmlformats.org/officeDocument/2006/relationships/hyperlink" Target="https://www.linkedin.com/learning/artificial-intelligence-for-marketing?trk=ondemandfile" TargetMode="External"/><Relationship Id="rId188" Type="http://schemas.openxmlformats.org/officeDocument/2006/relationships/hyperlink" Target="https://www.linkedin.com/learning/disruptive-branding-blinkist-summary?trk=ondemandfile" TargetMode="External"/><Relationship Id="rId183" Type="http://schemas.openxmlformats.org/officeDocument/2006/relationships/hyperlink" Target="https://www.linkedin.com/learning/social-media-marketing-for-small-business?trk=ondemandfile" TargetMode="External"/><Relationship Id="rId182" Type="http://schemas.openxmlformats.org/officeDocument/2006/relationships/hyperlink" Target="https://www.linkedin.com/learning/social-media-for-video-pros?trk=ondemandfile" TargetMode="External"/><Relationship Id="rId181" Type="http://schemas.openxmlformats.org/officeDocument/2006/relationships/hyperlink" Target="https://www.linkedin.com/learning/creating-social-content-with-adobe-animate-cc?trk=ondemandfile" TargetMode="External"/><Relationship Id="rId180" Type="http://schemas.openxmlformats.org/officeDocument/2006/relationships/hyperlink" Target="https://www.linkedin.com/learning/designing-for-business?trk=contentmappingfile" TargetMode="External"/><Relationship Id="rId176" Type="http://schemas.openxmlformats.org/officeDocument/2006/relationships/hyperlink" Target="https://www.linkedin.com/learning/content-creation-strategy-and-tools?trk=ondemandfile" TargetMode="External"/><Relationship Id="rId175" Type="http://schemas.openxmlformats.org/officeDocument/2006/relationships/hyperlink" Target="https://www.linkedin.com/learning/social-media-stories-creative-strategies-and-tips?trk=ondemandfile" TargetMode="External"/><Relationship Id="rId174" Type="http://schemas.openxmlformats.org/officeDocument/2006/relationships/hyperlink" Target="https://www.linkedin.com/learning/content-strategy-for-marketers?trk=ondemandfile" TargetMode="External"/><Relationship Id="rId173" Type="http://schemas.openxmlformats.org/officeDocument/2006/relationships/hyperlink" Target="https://www.linkedin.com/learning/brand-strategy-management-of-your-brand-reputation?trk=ondemandfile" TargetMode="External"/><Relationship Id="rId179" Type="http://schemas.openxmlformats.org/officeDocument/2006/relationships/hyperlink" Target="https://www.linkedin.com/learning/retail-marketing-strategy?trk=ondemandfile" TargetMode="External"/><Relationship Id="rId178" Type="http://schemas.openxmlformats.org/officeDocument/2006/relationships/hyperlink" Target="https://www.linkedin.com/learning/market-research-b2b?trk=ondemandfile" TargetMode="External"/><Relationship Id="rId177" Type="http://schemas.openxmlformats.org/officeDocument/2006/relationships/hyperlink" Target="https://www.linkedin.com/learning/ecommerce-with-facebook-and-instagram?trk=ondemandfile" TargetMode="External"/><Relationship Id="rId198" Type="http://schemas.openxmlformats.org/officeDocument/2006/relationships/hyperlink" Target="https://www.linkedin.com/learning/advertising-on-youtube?trk=ondemandfile" TargetMode="External"/><Relationship Id="rId197" Type="http://schemas.openxmlformats.org/officeDocument/2006/relationships/hyperlink" Target="https://www.linkedin.com/learning/email-marketing-strategy-and-optimization?trk=ondemandfile" TargetMode="External"/><Relationship Id="rId196" Type="http://schemas.openxmlformats.org/officeDocument/2006/relationships/hyperlink" Target="https://www.linkedin.com/learning/content-marketing-roi?trk=ondemandfile" TargetMode="External"/><Relationship Id="rId195" Type="http://schemas.openxmlformats.org/officeDocument/2006/relationships/hyperlink" Target="https://www.linkedin.com/learning/social-media-monitoring-strategies-and-skills?trk=ondemandfile" TargetMode="External"/><Relationship Id="rId199" Type="http://schemas.openxmlformats.org/officeDocument/2006/relationships/hyperlink" Target="https://www.linkedin.com/learning/create-a-go-to-market-plan-2?trk=ondemandfile" TargetMode="External"/><Relationship Id="rId150" Type="http://schemas.openxmlformats.org/officeDocument/2006/relationships/hyperlink" Target="https://www.linkedin.com/learning/learning-instagram-2021?trk=ondemandfile" TargetMode="External"/><Relationship Id="rId149" Type="http://schemas.openxmlformats.org/officeDocument/2006/relationships/hyperlink" Target="https://www.linkedin.com/learning/learning-local-seo?trk=ondemandfile" TargetMode="External"/><Relationship Id="rId148" Type="http://schemas.openxmlformats.org/officeDocument/2006/relationships/hyperlink" Target="https://www.linkedin.com/learning/marketing-tools-social-media-13951096?trk=ondemandfile" TargetMode="External"/><Relationship Id="rId143" Type="http://schemas.openxmlformats.org/officeDocument/2006/relationships/hyperlink" Target="https://www.linkedin.com/learning/international-marketing-foundations?trk=ondemandfile" TargetMode="External"/><Relationship Id="rId142" Type="http://schemas.openxmlformats.org/officeDocument/2006/relationships/hyperlink" Target="https://www.linkedin.com/learning/marketing-on-twitter?trk=ondemandfile" TargetMode="External"/><Relationship Id="rId141" Type="http://schemas.openxmlformats.org/officeDocument/2006/relationships/hyperlink" Target="https://www.linkedin.com/learning/designing-an-authentic-brand?trk=ondemandfile" TargetMode="External"/><Relationship Id="rId140" Type="http://schemas.openxmlformats.org/officeDocument/2006/relationships/hyperlink" Target="https://www.linkedin.com/learning/developing-a-youtube-strategy?trk=ondemandfile" TargetMode="External"/><Relationship Id="rId147" Type="http://schemas.openxmlformats.org/officeDocument/2006/relationships/hyperlink" Target="https://www.linkedin.com/learning/how-to-build-a-following-online?trk=ondemandfile" TargetMode="External"/><Relationship Id="rId146" Type="http://schemas.openxmlformats.org/officeDocument/2006/relationships/hyperlink" Target="https://www.linkedin.com/learning/the-22-immutable-laws-of-branding-blinkist-summary?trk=ondemandfile" TargetMode="External"/><Relationship Id="rId145" Type="http://schemas.openxmlformats.org/officeDocument/2006/relationships/hyperlink" Target="https://www.linkedin.com/learning/marketing-virtual-events?trk=ondemandfile" TargetMode="External"/><Relationship Id="rId144" Type="http://schemas.openxmlformats.org/officeDocument/2006/relationships/hyperlink" Target="https://www.linkedin.com/learning/learning-logo-design?trk=ondemandfile" TargetMode="External"/><Relationship Id="rId139" Type="http://schemas.openxmlformats.org/officeDocument/2006/relationships/hyperlink" Target="https://www.linkedin.com/learning/direct-mail-marketing?trk=ondemandfile" TargetMode="External"/><Relationship Id="rId138" Type="http://schemas.openxmlformats.org/officeDocument/2006/relationships/hyperlink" Target="https://www.linkedin.com/learning/marketing-on-facebook?trk=ondemandfile" TargetMode="External"/><Relationship Id="rId137" Type="http://schemas.openxmlformats.org/officeDocument/2006/relationships/hyperlink" Target="https://www.linkedin.com/learning/marketing-customer-segmentation?trk=ondemandfile" TargetMode="External"/><Relationship Id="rId132" Type="http://schemas.openxmlformats.org/officeDocument/2006/relationships/hyperlink" Target="https://www.linkedin.com/learning/business-analytics-marketing-data?trk=ondemandfile" TargetMode="External"/><Relationship Id="rId131" Type="http://schemas.openxmlformats.org/officeDocument/2006/relationships/hyperlink" Target="https://www.linkedin.com/learning/the-definitive-drucker-getabstract-summary?trk=ondemandfile" TargetMode="External"/><Relationship Id="rId130" Type="http://schemas.openxmlformats.org/officeDocument/2006/relationships/hyperlink" Target="https://www.linkedin.com/learning/marketing-foundations-consumer-behavior?trk=ondemandfile" TargetMode="External"/><Relationship Id="rId136" Type="http://schemas.openxmlformats.org/officeDocument/2006/relationships/hyperlink" Target="https://www.linkedin.com/learning/international-seo?trk=ondemandfile" TargetMode="External"/><Relationship Id="rId135" Type="http://schemas.openxmlformats.org/officeDocument/2006/relationships/hyperlink" Target="https://www.linkedin.com/learning/programmatic-advertising-foundations?trk=ondemandfile" TargetMode="External"/><Relationship Id="rId134" Type="http://schemas.openxmlformats.org/officeDocument/2006/relationships/hyperlink" Target="https://www.linkedin.com/learning/affiliate-marketing-foundations?trk=ondemandfile" TargetMode="External"/><Relationship Id="rId133" Type="http://schemas.openxmlformats.org/officeDocument/2006/relationships/hyperlink" Target="https://www.linkedin.com/learning/creating-an-editorial-calendar-2?trk=ondemandfile" TargetMode="External"/><Relationship Id="rId172" Type="http://schemas.openxmlformats.org/officeDocument/2006/relationships/hyperlink" Target="https://www.linkedin.com/learning/marketing-strategy-case-studies-from-leading-brands?trk=ondemandfile" TargetMode="External"/><Relationship Id="rId171" Type="http://schemas.openxmlformats.org/officeDocument/2006/relationships/hyperlink" Target="https://www.linkedin.com/learning/marketing-on-facebook-14487220?trk=ondemandfile" TargetMode="External"/><Relationship Id="rId170" Type="http://schemas.openxmlformats.org/officeDocument/2006/relationships/hyperlink" Target="https://www.linkedin.com/learning/metaverse-and-nfts-for-marketing?trk=ondemandfile" TargetMode="External"/><Relationship Id="rId165" Type="http://schemas.openxmlformats.org/officeDocument/2006/relationships/hyperlink" Target="https://www.linkedin.com/learning/marketing-foundations-ecommerce-14401600?trk=contentmappingfile" TargetMode="External"/><Relationship Id="rId164" Type="http://schemas.openxmlformats.org/officeDocument/2006/relationships/hyperlink" Target="https://www.linkedin.com/learning/content-marketing-online-reviews-in-social-media?trk=contentmappingfile" TargetMode="External"/><Relationship Id="rId163" Type="http://schemas.openxmlformats.org/officeDocument/2006/relationships/hyperlink" Target="https://www.linkedin.com/learning/advertising-on-facebook-14321583?trk=ondemandfile" TargetMode="External"/><Relationship Id="rId162" Type="http://schemas.openxmlformats.org/officeDocument/2006/relationships/hyperlink" Target="https://www.linkedin.com/learning/introduction-to-linkedin-creator-mode?trk=ondemandfile" TargetMode="External"/><Relationship Id="rId169" Type="http://schemas.openxmlformats.org/officeDocument/2006/relationships/hyperlink" Target="https://www.linkedin.com/learning/brand-design-foundations?trk=contentmappingfile" TargetMode="External"/><Relationship Id="rId168" Type="http://schemas.openxmlformats.org/officeDocument/2006/relationships/hyperlink" Target="https://www.linkedin.com/learning/social-media-for-working-professionals?trk=contentmappingfile" TargetMode="External"/><Relationship Id="rId167" Type="http://schemas.openxmlformats.org/officeDocument/2006/relationships/hyperlink" Target="https://www.linkedin.com/learning/social-media-marketing-strategy-tiktok-and-instagram-reels?trk=contentmappingfile" TargetMode="External"/><Relationship Id="rId166" Type="http://schemas.openxmlformats.org/officeDocument/2006/relationships/hyperlink" Target="https://www.linkedin.com/learning/the-habits-of-successful-marketers?trk=contentmappingfile" TargetMode="External"/><Relationship Id="rId161" Type="http://schemas.openxmlformats.org/officeDocument/2006/relationships/hyperlink" Target="https://www.linkedin.com/learning/diversity-and-inclusion-in-marketing-inclusive-language-for-marketers?trk=ondemandfile" TargetMode="External"/><Relationship Id="rId160" Type="http://schemas.openxmlformats.org/officeDocument/2006/relationships/hyperlink" Target="https://www.linkedin.com/learning/marketing-foundations-analytics?trk=ondemandfile" TargetMode="External"/><Relationship Id="rId159" Type="http://schemas.openxmlformats.org/officeDocument/2006/relationships/hyperlink" Target="https://www.linkedin.com/learning/making-money-with-branded-content?trk=ondemandfile" TargetMode="External"/><Relationship Id="rId154" Type="http://schemas.openxmlformats.org/officeDocument/2006/relationships/hyperlink" Target="https://www.linkedin.com/learning/building-and-engaging-with-your-online-following-for-creators?trk=ondemandfile" TargetMode="External"/><Relationship Id="rId153" Type="http://schemas.openxmlformats.org/officeDocument/2006/relationships/hyperlink" Target="https://www.linkedin.com/learning/getting-started-with-facebook-shop-for-creators?trk=ondemandfile" TargetMode="External"/><Relationship Id="rId152" Type="http://schemas.openxmlformats.org/officeDocument/2006/relationships/hyperlink" Target="https://www.linkedin.com/learning/marketing-messaging-with-purpose?trk=ondemandfile" TargetMode="External"/><Relationship Id="rId151" Type="http://schemas.openxmlformats.org/officeDocument/2006/relationships/hyperlink" Target="https://www.linkedin.com/learning/jump-start-your-linkedin-live-channel?trk=ondemandfile" TargetMode="External"/><Relationship Id="rId158" Type="http://schemas.openxmlformats.org/officeDocument/2006/relationships/hyperlink" Target="https://www.linkedin.com/learning/building-an-audience-on-instagram?trk=ondemandfile" TargetMode="External"/><Relationship Id="rId157" Type="http://schemas.openxmlformats.org/officeDocument/2006/relationships/hyperlink" Target="https://www.linkedin.com/learning/jump-start-your-twitch-channel?trk=ondemandfile" TargetMode="External"/><Relationship Id="rId156" Type="http://schemas.openxmlformats.org/officeDocument/2006/relationships/hyperlink" Target="https://www.linkedin.com/learning/marketing-tools-automation-14268255?trk=ondemandfile" TargetMode="External"/><Relationship Id="rId155" Type="http://schemas.openxmlformats.org/officeDocument/2006/relationships/hyperlink" Target="https://www.linkedin.com/learning/advertising-on-instagram-14314447?trk=ondemandfile" TargetMode="External"/><Relationship Id="rId107" Type="http://schemas.openxmlformats.org/officeDocument/2006/relationships/hyperlink" Target="https://www.linkedin.com/learning/unlocking-creativity-blinkist-summary?trk=ondemandfile" TargetMode="External"/><Relationship Id="rId106" Type="http://schemas.openxmlformats.org/officeDocument/2006/relationships/hyperlink" Target="https://www.linkedin.com/learning/content-marketing-foundations-2020?trk=ondemandfile" TargetMode="External"/><Relationship Id="rId105" Type="http://schemas.openxmlformats.org/officeDocument/2006/relationships/hyperlink" Target="https://www.linkedin.com/learning/branding-strategy-define-your-creative-edge?trk=ondemandfile" TargetMode="External"/><Relationship Id="rId104" Type="http://schemas.openxmlformats.org/officeDocument/2006/relationships/hyperlink" Target="https://www.linkedin.com/learning/marketing-and-monetizing-on-youtube-2019?trk=ondemandfile" TargetMode="External"/><Relationship Id="rId109" Type="http://schemas.openxmlformats.org/officeDocument/2006/relationships/hyperlink" Target="https://www.linkedin.com/learning/design-thinking-understanding-the-process?trk=ondemandfile" TargetMode="External"/><Relationship Id="rId108" Type="http://schemas.openxmlformats.org/officeDocument/2006/relationships/hyperlink" Target="https://www.linkedin.com/learning/learning-google-adsense-2?trk=ondemandfile" TargetMode="External"/><Relationship Id="rId103" Type="http://schemas.openxmlformats.org/officeDocument/2006/relationships/hyperlink" Target="https://www.linkedin.com/learning/implementing-creative-feedback-the-win-win-way?trk=ondemandfile" TargetMode="External"/><Relationship Id="rId102" Type="http://schemas.openxmlformats.org/officeDocument/2006/relationships/hyperlink" Target="https://www.linkedin.com/learning/build-an-ecommerce-website-using-shopify?trk=ondemandfile" TargetMode="External"/><Relationship Id="rId101" Type="http://schemas.openxmlformats.org/officeDocument/2006/relationships/hyperlink" Target="https://www.linkedin.com/learning/banish-your-inner-critic-to-unleash-creativity-3?trk=ondemandfile" TargetMode="External"/><Relationship Id="rId100" Type="http://schemas.openxmlformats.org/officeDocument/2006/relationships/hyperlink" Target="https://www.linkedin.com/learning/marketing-foundations-2?trk=ondemandfile" TargetMode="External"/><Relationship Id="rId129" Type="http://schemas.openxmlformats.org/officeDocument/2006/relationships/hyperlink" Target="https://www.linkedin.com/learning/managing-innovation?trk=ondemandfile" TargetMode="External"/><Relationship Id="rId128" Type="http://schemas.openxmlformats.org/officeDocument/2006/relationships/hyperlink" Target="https://www.linkedin.com/learning/building-a-winning-enterprise-marketing-strategy?trk=ondemandfile" TargetMode="External"/><Relationship Id="rId127" Type="http://schemas.openxmlformats.org/officeDocument/2006/relationships/hyperlink" Target="https://www.linkedin.com/learning/promoting-psychological-safety-to-encourage-employees-to-take-risks?trk=ondemandfile" TargetMode="External"/><Relationship Id="rId126" Type="http://schemas.openxmlformats.org/officeDocument/2006/relationships/hyperlink" Target="https://www.linkedin.com/learning/marketing-analytics-setting-and-measuring-kpis-2?trk=ondemandfile" TargetMode="External"/><Relationship Id="rId121" Type="http://schemas.openxmlformats.org/officeDocument/2006/relationships/hyperlink" Target="https://www.linkedin.com/learning/finding-creativity-in-uncertain-times?trk=contentmappingfile" TargetMode="External"/><Relationship Id="rId120" Type="http://schemas.openxmlformats.org/officeDocument/2006/relationships/hyperlink" Target="https://www.linkedin.com/learning/content-marketing-for-social-media?trk=ondemandfile" TargetMode="External"/><Relationship Id="rId125" Type="http://schemas.openxmlformats.org/officeDocument/2006/relationships/hyperlink" Target="https://www.linkedin.com/learning/enhancing-team-innovation?trk=ondemandfile" TargetMode="External"/><Relationship Id="rId124" Type="http://schemas.openxmlformats.org/officeDocument/2006/relationships/hyperlink" Target="https://www.linkedin.com/learning/small-business-marketing?trk=ondemandfile" TargetMode="External"/><Relationship Id="rId123" Type="http://schemas.openxmlformats.org/officeDocument/2006/relationships/hyperlink" Target="https://www.linkedin.com/learning/ux-deep-dive-remote-research?trk=ondemandfile" TargetMode="External"/><Relationship Id="rId122" Type="http://schemas.openxmlformats.org/officeDocument/2006/relationships/hyperlink" Target="https://www.linkedin.com/learning/introduction-to-social-media-strategy?trk=ondemandfile" TargetMode="External"/><Relationship Id="rId118" Type="http://schemas.openxmlformats.org/officeDocument/2006/relationships/hyperlink" Target="https://www.linkedin.com/learning/marketing-tools-digital-marketing-2?trk=ondemandfile" TargetMode="External"/><Relationship Id="rId117" Type="http://schemas.openxmlformats.org/officeDocument/2006/relationships/hyperlink" Target="https://www.linkedin.com/learning/productive-creativity?trk=ondemandfile" TargetMode="External"/><Relationship Id="rId116" Type="http://schemas.openxmlformats.org/officeDocument/2006/relationships/hyperlink" Target="https://www.linkedin.com/learning/marketing-to-generation-z?trk=ondemandfile" TargetMode="External"/><Relationship Id="rId115" Type="http://schemas.openxmlformats.org/officeDocument/2006/relationships/hyperlink" Target="https://www.linkedin.com/learning/creative-confidence-blinkist-summary?trk=ondemandfile" TargetMode="External"/><Relationship Id="rId119" Type="http://schemas.openxmlformats.org/officeDocument/2006/relationships/hyperlink" Target="https://www.linkedin.com/learning/unique-ways-to-generate-creative-ideas?trk=contentmappingfile" TargetMode="External"/><Relationship Id="rId110" Type="http://schemas.openxmlformats.org/officeDocument/2006/relationships/hyperlink" Target="https://www.linkedin.com/learning/advertising-on-twitter-2020?trk=ondemandfile" TargetMode="External"/><Relationship Id="rId114" Type="http://schemas.openxmlformats.org/officeDocument/2006/relationships/hyperlink" Target="https://www.linkedin.com/learning/branding-foundations-2?trk=ondemandfile" TargetMode="External"/><Relationship Id="rId113" Type="http://schemas.openxmlformats.org/officeDocument/2006/relationships/hyperlink" Target="https://www.linkedin.com/learning/creativity-at-work-a-short-course-from-seth-godin?trk=ondemandfile" TargetMode="External"/><Relationship Id="rId112" Type="http://schemas.openxmlformats.org/officeDocument/2006/relationships/hyperlink" Target="https://www.linkedin.com/learning/social-media-marketing-foundations-20-20?trk=ondemandfile" TargetMode="External"/><Relationship Id="rId111" Type="http://schemas.openxmlformats.org/officeDocument/2006/relationships/hyperlink" Target="https://www.linkedin.com/learning/conducting-a-swot-analysis?trk=ondemandfile"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linkedin.com/learning/cmo-foundations-measuring-marketing-effectiveness-roi?trk=ondemandfile" TargetMode="External"/><Relationship Id="rId2" Type="http://schemas.openxmlformats.org/officeDocument/2006/relationships/hyperlink" Target="https://www.linkedin.com/learning/paths/develop-critical-thinking-decision-making-and-problem-solving-skills?trk=ondemandfile" TargetMode="External"/><Relationship Id="rId3" Type="http://schemas.openxmlformats.org/officeDocument/2006/relationships/hyperlink" Target="https://www.linkedin.com/learning/service-innovation?trk=ondemandfile" TargetMode="External"/><Relationship Id="rId4" Type="http://schemas.openxmlformats.org/officeDocument/2006/relationships/hyperlink" Target="https://www.linkedin.com/learning/paths/become-a-customer-service-manager?trk=ondemandfile" TargetMode="External"/><Relationship Id="rId9" Type="http://schemas.openxmlformats.org/officeDocument/2006/relationships/hyperlink" Target="https://www.linkedin.com/learning/removing-noise-and-bias-from-strategic-decision-making?trk=ondemandfile" TargetMode="External"/><Relationship Id="rId5" Type="http://schemas.openxmlformats.org/officeDocument/2006/relationships/hyperlink" Target="https://www.linkedin.com/learning/reid-hoffman-and-chris-yeh-on-blitzscaling?trk=ondemandfile" TargetMode="External"/><Relationship Id="rId6" Type="http://schemas.openxmlformats.org/officeDocument/2006/relationships/hyperlink" Target="https://www.linkedin.com/learning/paths/improve-your-organizational-skills?trk=ondemandfile" TargetMode="External"/><Relationship Id="rId7" Type="http://schemas.openxmlformats.org/officeDocument/2006/relationships/hyperlink" Target="https://www.linkedin.com/learning/customer-experience-leadership?trk=ondemandfile" TargetMode="External"/><Relationship Id="rId8" Type="http://schemas.openxmlformats.org/officeDocument/2006/relationships/hyperlink" Target="https://www.linkedin.com/learning/paths/become-a-customer-service-specialist?trk=ondemandfile" TargetMode="External"/><Relationship Id="rId40" Type="http://schemas.openxmlformats.org/officeDocument/2006/relationships/hyperlink" Target="https://www.linkedin.com/learning/talking-to-customers?trk=ondemandfile" TargetMode="External"/><Relationship Id="rId42" Type="http://schemas.openxmlformats.org/officeDocument/2006/relationships/hyperlink" Target="https://www.linkedin.com/learning/customer-service-foundations-2?trk=ondemandfile" TargetMode="External"/><Relationship Id="rId41" Type="http://schemas.openxmlformats.org/officeDocument/2006/relationships/hyperlink" Target="https://www.linkedin.com/learning/developing-a-learning-mindset?trk=ondemandfile" TargetMode="External"/><Relationship Id="rId44" Type="http://schemas.openxmlformats.org/officeDocument/2006/relationships/hyperlink" Target="https://www.linkedin.com/learning/delivering-bad-news-to-a-customer?trk=ondemandfile" TargetMode="External"/><Relationship Id="rId43" Type="http://schemas.openxmlformats.org/officeDocument/2006/relationships/hyperlink" Target="https://www.linkedin.com/learning/monday-productivity-pointers?trk=ondemandfile" TargetMode="External"/><Relationship Id="rId46" Type="http://schemas.openxmlformats.org/officeDocument/2006/relationships/hyperlink" Target="https://www.linkedin.com/learning/ecommerce-fundamentals-2?trk=ondemandfile" TargetMode="External"/><Relationship Id="rId45" Type="http://schemas.openxmlformats.org/officeDocument/2006/relationships/hyperlink" Target="https://www.linkedin.com/learning/process-improvement-foundations?trk=ondemandfile" TargetMode="External"/><Relationship Id="rId48" Type="http://schemas.openxmlformats.org/officeDocument/2006/relationships/hyperlink" Target="https://www.linkedin.com/learning/empathy-for-customer-service-professionals?trk=ondemandfile" TargetMode="External"/><Relationship Id="rId47" Type="http://schemas.openxmlformats.org/officeDocument/2006/relationships/hyperlink" Target="https://www.linkedin.com/learning/solving-business-problems?trk=ondemandfile" TargetMode="External"/><Relationship Id="rId49" Type="http://schemas.openxmlformats.org/officeDocument/2006/relationships/hyperlink" Target="https://www.linkedin.com/learning/crafting-problem-and-solution-statements?trk=ondemandfile" TargetMode="External"/><Relationship Id="rId31" Type="http://schemas.openxmlformats.org/officeDocument/2006/relationships/hyperlink" Target="https://www.linkedin.com/learning/2020-vlog-leading-with-intelligent-disobedience?trk=ondemandfile" TargetMode="External"/><Relationship Id="rId30" Type="http://schemas.openxmlformats.org/officeDocument/2006/relationships/hyperlink" Target="https://www.linkedin.com/learning/calculating-the-value-and-roi-of-customer-service?trk=ondemandfile" TargetMode="External"/><Relationship Id="rId33" Type="http://schemas.openxmlformats.org/officeDocument/2006/relationships/hyperlink" Target="https://www.linkedin.com/learning/crafting-questions-to-make-better-decisions?trk=ondemandfile" TargetMode="External"/><Relationship Id="rId32" Type="http://schemas.openxmlformats.org/officeDocument/2006/relationships/hyperlink" Target="https://www.linkedin.com/learning/winning-back-a-lost-customer-2?trk=ondemandfile" TargetMode="External"/><Relationship Id="rId35" Type="http://schemas.openxmlformats.org/officeDocument/2006/relationships/hyperlink" Target="https://www.linkedin.com/learning/the-secret-to-better-decisions-stop-hoarding-chips?trk=ondemandfile" TargetMode="External"/><Relationship Id="rId34" Type="http://schemas.openxmlformats.org/officeDocument/2006/relationships/hyperlink" Target="https://www.linkedin.com/learning/journey-mapping-case-studies-in-action?trk=ondemandfile" TargetMode="External"/><Relationship Id="rId37" Type="http://schemas.openxmlformats.org/officeDocument/2006/relationships/hyperlink" Target="https://www.linkedin.com/learning/critical-thinking-for-better-judgment-and-decision-making?trk=ondemandfile" TargetMode="External"/><Relationship Id="rId36" Type="http://schemas.openxmlformats.org/officeDocument/2006/relationships/hyperlink" Target="https://www.linkedin.com/learning/customer-service-creating-customer-value-2020?trk=ondemandfile" TargetMode="External"/><Relationship Id="rId39" Type="http://schemas.openxmlformats.org/officeDocument/2006/relationships/hyperlink" Target="https://www.linkedin.com/learning/privacy-in-the-age-of-covid?trk=ondemandfile" TargetMode="External"/><Relationship Id="rId38" Type="http://schemas.openxmlformats.org/officeDocument/2006/relationships/hyperlink" Target="https://www.linkedin.com/learning/using-assessments-to-hire-customer-service-reps?trk=ondemandfile" TargetMode="External"/><Relationship Id="rId20" Type="http://schemas.openxmlformats.org/officeDocument/2006/relationships/hyperlink" Target="https://www.linkedin.com/learning/creating-a-positive-customer-experience-2020?trk=ondemandfile" TargetMode="External"/><Relationship Id="rId22" Type="http://schemas.openxmlformats.org/officeDocument/2006/relationships/hyperlink" Target="https://www.linkedin.com/learning/customer-experience-creating-customer-personas?trk=ondemandfile" TargetMode="External"/><Relationship Id="rId21" Type="http://schemas.openxmlformats.org/officeDocument/2006/relationships/hyperlink" Target="https://www.linkedin.com/learning/applying-critical-thinking-strategies-to-communicate-effectively?trk=ondemandfile" TargetMode="External"/><Relationship Id="rId24" Type="http://schemas.openxmlformats.org/officeDocument/2006/relationships/hyperlink" Target="https://www.linkedin.com/learning/customer-service-and-support-during-economic-downturns?trk=ondemandfile" TargetMode="External"/><Relationship Id="rId23" Type="http://schemas.openxmlformats.org/officeDocument/2006/relationships/hyperlink" Target="https://www.linkedin.com/learning/overcoming-decision-making-traps?trk=ondemandfile" TargetMode="External"/><Relationship Id="rId26" Type="http://schemas.openxmlformats.org/officeDocument/2006/relationships/hyperlink" Target="https://www.linkedin.com/learning/serving-customers-in-a-continuously-changing-world?trk=ondemandfile" TargetMode="External"/><Relationship Id="rId25" Type="http://schemas.openxmlformats.org/officeDocument/2006/relationships/hyperlink" Target="https://www.linkedin.com/learning/developing-a-critical-thinking-mindset?trk=ondemandfile" TargetMode="External"/><Relationship Id="rId28" Type="http://schemas.openxmlformats.org/officeDocument/2006/relationships/hyperlink" Target="https://www.linkedin.com/learning/creating-positive-conversations-with-challenging-customers-2022?trk=ondemandfile" TargetMode="External"/><Relationship Id="rId27" Type="http://schemas.openxmlformats.org/officeDocument/2006/relationships/hyperlink" Target="https://www.linkedin.com/learning/using-questions-to-coach-and-lead?trk=ondemandfile" TargetMode="External"/><Relationship Id="rId29" Type="http://schemas.openxmlformats.org/officeDocument/2006/relationships/hyperlink" Target="https://www.linkedin.com/learning/making-key-decisions-as-a-manager?trk=ondemandfile" TargetMode="External"/><Relationship Id="rId11" Type="http://schemas.openxmlformats.org/officeDocument/2006/relationships/hyperlink" Target="https://www.linkedin.com/learning/creating-a-culture-of-privacy?trk=ondemandfile" TargetMode="External"/><Relationship Id="rId10" Type="http://schemas.openxmlformats.org/officeDocument/2006/relationships/hyperlink" Target="https://www.linkedin.com/learning/paths/improve-your-problem-solving-skills?trk=ondemandfile" TargetMode="External"/><Relationship Id="rId13" Type="http://schemas.openxmlformats.org/officeDocument/2006/relationships/hyperlink" Target="https://www.linkedin.com/learning/learning-agility?trk=ondemandfile" TargetMode="External"/><Relationship Id="rId12" Type="http://schemas.openxmlformats.org/officeDocument/2006/relationships/hyperlink" Target="https://www.linkedin.com/learning/paths/become-a-customer-support-specialist?trk=ondemandfile" TargetMode="External"/><Relationship Id="rId15" Type="http://schemas.openxmlformats.org/officeDocument/2006/relationships/hyperlink" Target="https://www.linkedin.com/learning/business-fundamentals-for-customer-success-managers?trk=ondemandfile" TargetMode="External"/><Relationship Id="rId14" Type="http://schemas.openxmlformats.org/officeDocument/2006/relationships/hyperlink" Target="https://www.linkedin.com/learning/paths/master-in-demand-professional-soft-skills?trk=ondemandfile" TargetMode="External"/><Relationship Id="rId17" Type="http://schemas.openxmlformats.org/officeDocument/2006/relationships/hyperlink" Target="https://www.linkedin.com/learning/executive-decision-making?trk=ondemandfile" TargetMode="External"/><Relationship Id="rId16" Type="http://schemas.openxmlformats.org/officeDocument/2006/relationships/hyperlink" Target="https://www.linkedin.com/learning/paths/develop-your-customer-service-skills?trk=ondemandfile" TargetMode="External"/><Relationship Id="rId19" Type="http://schemas.openxmlformats.org/officeDocument/2006/relationships/hyperlink" Target="https://www.linkedin.com/learning/start-with-why?trk=ondemandfile" TargetMode="External"/><Relationship Id="rId18" Type="http://schemas.openxmlformats.org/officeDocument/2006/relationships/hyperlink" Target="https://www.linkedin.com/learning/customer-service-preventing-turnover?trk=ondemandfile" TargetMode="External"/><Relationship Id="rId84" Type="http://schemas.openxmlformats.org/officeDocument/2006/relationships/hyperlink" Target="https://www.linkedin.com/learning/providing-legendary-customer-service?trk=ondemandfile" TargetMode="External"/><Relationship Id="rId83" Type="http://schemas.openxmlformats.org/officeDocument/2006/relationships/hyperlink" Target="https://www.linkedin.com/learning/successful-goal-setting?trk=ondemandfile" TargetMode="External"/><Relationship Id="rId86" Type="http://schemas.openxmlformats.org/officeDocument/2006/relationships/hyperlink" Target="https://www.linkedin.com/learning/data-driven-harnessing-data-and-ai-to-reinvent-customer-engagement-getabstract-summary?trk=ondemandfile" TargetMode="External"/><Relationship Id="rId85" Type="http://schemas.openxmlformats.org/officeDocument/2006/relationships/hyperlink" Target="https://www.linkedin.com/learning/powerless-to-powerful-taking-control?trk=ondemandfile" TargetMode="External"/><Relationship Id="rId88" Type="http://schemas.openxmlformats.org/officeDocument/2006/relationships/hyperlink" Target="https://www.linkedin.com/learning/just-ask-dean-karrel?trk=ondemandfile" TargetMode="External"/><Relationship Id="rId87" Type="http://schemas.openxmlformats.org/officeDocument/2006/relationships/hyperlink" Target="https://www.linkedin.com/learning/making-decisions-2019?trk=ondemandfile" TargetMode="External"/><Relationship Id="rId89" Type="http://schemas.openxmlformats.org/officeDocument/2006/relationships/hyperlink" Target="https://www.linkedin.com/learning/good-economics-for-hard-times-blinkist-summary?trk=ondemandfile" TargetMode="External"/><Relationship Id="rId80" Type="http://schemas.openxmlformats.org/officeDocument/2006/relationships/hyperlink" Target="https://www.linkedin.com/learning/building-rapport-with-customers?trk=ondemandfile" TargetMode="External"/><Relationship Id="rId82" Type="http://schemas.openxmlformats.org/officeDocument/2006/relationships/hyperlink" Target="https://www.linkedin.com/learning/customer-service-managing-customer-expectations?trk=ondemandfile" TargetMode="External"/><Relationship Id="rId81" Type="http://schemas.openxmlformats.org/officeDocument/2006/relationships/hyperlink" Target="https://www.linkedin.com/learning/sheryl-sandberg-and-adam-grant-on-option-b?trk=ondemandfile" TargetMode="External"/><Relationship Id="rId73" Type="http://schemas.openxmlformats.org/officeDocument/2006/relationships/hyperlink" Target="https://www.linkedin.com/learning/enhancing-resilience?trk=ondemandfile" TargetMode="External"/><Relationship Id="rId72" Type="http://schemas.openxmlformats.org/officeDocument/2006/relationships/hyperlink" Target="https://www.linkedin.com/learning/customer-service-handling-abusive-customers?trk=ondemandfile" TargetMode="External"/><Relationship Id="rId75" Type="http://schemas.openxmlformats.org/officeDocument/2006/relationships/hyperlink" Target="https://www.linkedin.com/learning/fred-kofman-on-making-commitments?trk=ondemandfile" TargetMode="External"/><Relationship Id="rId74" Type="http://schemas.openxmlformats.org/officeDocument/2006/relationships/hyperlink" Target="https://www.linkedin.com/learning/customer-service-managing-customer-feedback?trk=ondemandfile" TargetMode="External"/><Relationship Id="rId77" Type="http://schemas.openxmlformats.org/officeDocument/2006/relationships/hyperlink" Target="https://www.linkedin.com/learning/learning-from-failure?trk=ondemandfile" TargetMode="External"/><Relationship Id="rId76" Type="http://schemas.openxmlformats.org/officeDocument/2006/relationships/hyperlink" Target="https://www.linkedin.com/learning/customer-service-problem-solving-and-trouble-shooting?trk=ondemandfile" TargetMode="External"/><Relationship Id="rId79" Type="http://schemas.openxmlformats.org/officeDocument/2006/relationships/hyperlink" Target="https://www.linkedin.com/learning/prioritizing-your-tasks?trk=ondemandfile" TargetMode="External"/><Relationship Id="rId78" Type="http://schemas.openxmlformats.org/officeDocument/2006/relationships/hyperlink" Target="https://www.linkedin.com/learning/developing-a-service-mindset?trk=ondemandfile" TargetMode="External"/><Relationship Id="rId71" Type="http://schemas.openxmlformats.org/officeDocument/2006/relationships/hyperlink" Target="https://www.linkedin.com/learning/delivering-results-effectively?trk=ondemandfile" TargetMode="External"/><Relationship Id="rId70" Type="http://schemas.openxmlformats.org/officeDocument/2006/relationships/hyperlink" Target="https://www.linkedin.com/learning/empathy-in-ux-design?trk=ondemandfile" TargetMode="External"/><Relationship Id="rId62" Type="http://schemas.openxmlformats.org/officeDocument/2006/relationships/hyperlink" Target="https://www.linkedin.com/learning/customer-development-for-product-managers?trk=ondemandfile" TargetMode="External"/><Relationship Id="rId61" Type="http://schemas.openxmlformats.org/officeDocument/2006/relationships/hyperlink" Target="https://www.linkedin.com/learning/improving-your-thinking-2022?trk=ondemandfile" TargetMode="External"/><Relationship Id="rId64" Type="http://schemas.openxmlformats.org/officeDocument/2006/relationships/hyperlink" Target="https://www.linkedin.com/learning/creatorup-making-business-videos-for-customers?trk=ondemandfile" TargetMode="External"/><Relationship Id="rId63" Type="http://schemas.openxmlformats.org/officeDocument/2006/relationships/hyperlink" Target="https://www.linkedin.com/learning/practical-creativity-for-everyone?trk=ondemandfile" TargetMode="External"/><Relationship Id="rId66" Type="http://schemas.openxmlformats.org/officeDocument/2006/relationships/hyperlink" Target="https://www.linkedin.com/learning/aftersale-maintaining-relationships?trk=ondemandfile" TargetMode="External"/><Relationship Id="rId65" Type="http://schemas.openxmlformats.org/officeDocument/2006/relationships/hyperlink" Target="https://www.linkedin.com/learning/building-resilience?trk=ondemandfile" TargetMode="External"/><Relationship Id="rId68" Type="http://schemas.openxmlformats.org/officeDocument/2006/relationships/hyperlink" Target="https://www.linkedin.com/learning/data-ethics-managing-your-private-customer-data?trk=ondemandfile" TargetMode="External"/><Relationship Id="rId67" Type="http://schemas.openxmlformats.org/officeDocument/2006/relationships/hyperlink" Target="https://www.linkedin.com/learning/critical-thinking?trk=ondemandfile" TargetMode="External"/><Relationship Id="rId60" Type="http://schemas.openxmlformats.org/officeDocument/2006/relationships/hyperlink" Target="https://www.linkedin.com/learning/engagement-preparation-best-practices-for-customer-success-management?trk=ondemandfile" TargetMode="External"/><Relationship Id="rId69" Type="http://schemas.openxmlformats.org/officeDocument/2006/relationships/hyperlink" Target="https://www.linkedin.com/learning/cultivating-a-growth-mindset?trk=ondemandfile" TargetMode="External"/><Relationship Id="rId51" Type="http://schemas.openxmlformats.org/officeDocument/2006/relationships/hyperlink" Target="https://www.linkedin.com/learning/improving-your-judgment-for-better-decision-making?trk=ondemandfile" TargetMode="External"/><Relationship Id="rId50" Type="http://schemas.openxmlformats.org/officeDocument/2006/relationships/hyperlink" Target="https://www.linkedin.com/learning/marketing-foundations-consumer-behavior?trk=ondemandfile" TargetMode="External"/><Relationship Id="rId53" Type="http://schemas.openxmlformats.org/officeDocument/2006/relationships/hyperlink" Target="https://www.linkedin.com/learning/how-to-use-data-visualization-to-make-better-decisions-faster?trk=ondemandfile" TargetMode="External"/><Relationship Id="rId52" Type="http://schemas.openxmlformats.org/officeDocument/2006/relationships/hyperlink" Target="https://www.linkedin.com/learning/customer-success-management-fundamentals?trk=ondemandfile" TargetMode="External"/><Relationship Id="rId55" Type="http://schemas.openxmlformats.org/officeDocument/2006/relationships/hyperlink" Target="https://www.linkedin.com/learning/simple-habits-for-complex-times-getabstract-summary?trk=ondemandfile" TargetMode="External"/><Relationship Id="rId54" Type="http://schemas.openxmlformats.org/officeDocument/2006/relationships/hyperlink" Target="https://www.linkedin.com/learning/value-realization-best-practices-for-customer-success-management?trk=ondemandfile" TargetMode="External"/><Relationship Id="rId57" Type="http://schemas.openxmlformats.org/officeDocument/2006/relationships/hyperlink" Target="https://www.linkedin.com/learning/emotional-intelligence-as-an-inclusivity-booster?trk=ondemandfile" TargetMode="External"/><Relationship Id="rId56" Type="http://schemas.openxmlformats.org/officeDocument/2006/relationships/hyperlink" Target="https://www.linkedin.com/learning/avoiding-common-pitfalls-in-customer-success-management?trk=ondemandfile" TargetMode="External"/><Relationship Id="rId59" Type="http://schemas.openxmlformats.org/officeDocument/2006/relationships/hyperlink" Target="https://www.linkedin.com/learning/overcoming-cognitive-bias-2022?trk=ondemandfile" TargetMode="External"/><Relationship Id="rId58" Type="http://schemas.openxmlformats.org/officeDocument/2006/relationships/hyperlink" Target="https://www.linkedin.com/learning/onboarding-and-adoption-best-practices-for-customer-success-management?trk=ondemandfile" TargetMode="External"/><Relationship Id="rId95" Type="http://schemas.openxmlformats.org/officeDocument/2006/relationships/hyperlink" Target="https://www.linkedin.com/learning/creativity-at-work-a-short-course-from-seth-godin?trk=ondemandfile" TargetMode="External"/><Relationship Id="rId94" Type="http://schemas.openxmlformats.org/officeDocument/2006/relationships/hyperlink" Target="https://www.linkedin.com/learning/customer-experience-journey-mapping?trk=ondemandfile" TargetMode="External"/><Relationship Id="rId97" Type="http://schemas.openxmlformats.org/officeDocument/2006/relationships/hyperlink" Target="https://www.linkedin.com/learning/how-to-think-like-a-lawyer-to-make-decisions-and-solve-problems?trk=ondemandfile" TargetMode="External"/><Relationship Id="rId96" Type="http://schemas.openxmlformats.org/officeDocument/2006/relationships/hyperlink" Target="https://www.linkedin.com/learning/customer-experience-service-blueprinting?trk=ondemandfile" TargetMode="External"/><Relationship Id="rId99" Type="http://schemas.openxmlformats.org/officeDocument/2006/relationships/hyperlink" Target="https://www.linkedin.com/learning/smarter-faster-better-blinkist-summary?trk=ondemandfile" TargetMode="External"/><Relationship Id="rId98" Type="http://schemas.openxmlformats.org/officeDocument/2006/relationships/hyperlink" Target="https://www.linkedin.com/learning/customer-service-motivating-your-team?trk=ondemandfile" TargetMode="External"/><Relationship Id="rId91" Type="http://schemas.openxmlformats.org/officeDocument/2006/relationships/hyperlink" Target="https://www.linkedin.com/learning/presence-bringing-your-boldest-self-to-your-biggest-challenges-getabstract-summary?trk=ondemandfile" TargetMode="External"/><Relationship Id="rId90" Type="http://schemas.openxmlformats.org/officeDocument/2006/relationships/hyperlink" Target="https://www.linkedin.com/learning/building-customer-loyalty-2?trk=ondemandfile" TargetMode="External"/><Relationship Id="rId93" Type="http://schemas.openxmlformats.org/officeDocument/2006/relationships/hyperlink" Target="https://www.linkedin.com/learning/critical-thinking-and-problem-solving?trk=ondemandfile" TargetMode="External"/><Relationship Id="rId92" Type="http://schemas.openxmlformats.org/officeDocument/2006/relationships/hyperlink" Target="https://www.linkedin.com/learning/creating-positive-conversations-with-challenging-customers?trk=ondemandfile" TargetMode="External"/><Relationship Id="rId107" Type="http://schemas.openxmlformats.org/officeDocument/2006/relationships/hyperlink" Target="https://www.linkedin.com/learning/cultivating-mental-agility?trk=ondemandfile" TargetMode="External"/><Relationship Id="rId106" Type="http://schemas.openxmlformats.org/officeDocument/2006/relationships/hyperlink" Target="https://www.linkedin.com/learning/working-with-upset-customers?trk=ondemandfile" TargetMode="External"/><Relationship Id="rId105" Type="http://schemas.openxmlformats.org/officeDocument/2006/relationships/hyperlink" Target="https://www.linkedin.com/learning/dan-ariely-on-making-decisions?trk=ondemandfile" TargetMode="External"/><Relationship Id="rId104" Type="http://schemas.openxmlformats.org/officeDocument/2006/relationships/hyperlink" Target="https://www.linkedin.com/learning/managing-a-customer-service-team?trk=ondemandfile" TargetMode="External"/><Relationship Id="rId109" Type="http://schemas.openxmlformats.org/officeDocument/2006/relationships/hyperlink" Target="https://www.linkedin.com/learning/decision-making-in-high-stress-situations?trk=ondemandfile" TargetMode="External"/><Relationship Id="rId108" Type="http://schemas.openxmlformats.org/officeDocument/2006/relationships/hyperlink" Target="https://www.linkedin.com/learning/aligning-customer-experience-with-company-culture?trk=ondemandfile" TargetMode="External"/><Relationship Id="rId103" Type="http://schemas.openxmlformats.org/officeDocument/2006/relationships/hyperlink" Target="https://www.linkedin.com/learning/overcome-overthinking?trk=ondemandfile" TargetMode="External"/><Relationship Id="rId102" Type="http://schemas.openxmlformats.org/officeDocument/2006/relationships/hyperlink" Target="https://www.linkedin.com/learning/leading-a-customer-centric-culture-2?trk=ondemandfile" TargetMode="External"/><Relationship Id="rId101" Type="http://schemas.openxmlformats.org/officeDocument/2006/relationships/hyperlink" Target="https://www.linkedin.com/learning/thinking-fast-and-slow-blinkist-summary?trk=ondemandfile" TargetMode="External"/><Relationship Id="rId100" Type="http://schemas.openxmlformats.org/officeDocument/2006/relationships/hyperlink" Target="https://www.linkedin.com/learning/innovative-customer-service-techniques?trk=ondemandfile" TargetMode="External"/><Relationship Id="rId118" Type="http://schemas.openxmlformats.org/officeDocument/2006/relationships/drawing" Target="../drawings/drawing9.xml"/><Relationship Id="rId117" Type="http://schemas.openxmlformats.org/officeDocument/2006/relationships/hyperlink" Target="https://www.linkedin.com/learning/customer-service-knowledge-management?trk=ondemandfile" TargetMode="External"/><Relationship Id="rId116" Type="http://schemas.openxmlformats.org/officeDocument/2006/relationships/hyperlink" Target="https://www.linkedin.com/learning/business-development-foundations-researching-market-and-customer-needs?trk=ondemandfile" TargetMode="External"/><Relationship Id="rId115" Type="http://schemas.openxmlformats.org/officeDocument/2006/relationships/hyperlink" Target="https://www.linkedin.com/learning/a-design-thinking-approach-to-putting-the-customer-first?trk=ondemandfile" TargetMode="External"/><Relationship Id="rId110" Type="http://schemas.openxmlformats.org/officeDocument/2006/relationships/hyperlink" Target="https://www.linkedin.com/learning/customer-service-using-ai-and-machine-learning?trk=ondemandfile" TargetMode="External"/><Relationship Id="rId114" Type="http://schemas.openxmlformats.org/officeDocument/2006/relationships/hyperlink" Target="https://www.linkedin.com/learning/leading-a-customer-service-team?trk=ondemandfile" TargetMode="External"/><Relationship Id="rId113" Type="http://schemas.openxmlformats.org/officeDocument/2006/relationships/hyperlink" Target="https://www.linkedin.com/learning/serving-customers-using-social-media-2?trk=ondemandfile" TargetMode="External"/><Relationship Id="rId112" Type="http://schemas.openxmlformats.org/officeDocument/2006/relationships/hyperlink" Target="https://www.linkedin.com/learning/customer-service-serving-customers-through-chat-and-text?trk=ondemandfile" TargetMode="External"/><Relationship Id="rId111" Type="http://schemas.openxmlformats.org/officeDocument/2006/relationships/hyperlink" Target="https://www.linkedin.com/learning/how-to-fix-bad-agile?trk=ondemandfile"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showGridLines="0" workbookViewId="0">
      <pane ySplit="1.0" topLeftCell="A2" activePane="bottomLeft" state="frozen"/>
      <selection activeCell="B3" sqref="B3" pane="bottomLeft"/>
    </sheetView>
  </sheetViews>
  <sheetFormatPr customHeight="1" defaultColWidth="12.63" defaultRowHeight="15.75"/>
  <cols>
    <col customWidth="1" min="1" max="1" width="40.75"/>
    <col customWidth="1" min="2" max="2" width="13.25"/>
    <col customWidth="1" min="3" max="3" width="86.88"/>
    <col customWidth="1" min="4" max="5" width="21.13"/>
    <col customWidth="1" min="6" max="6" width="18.38"/>
    <col customWidth="1" min="7" max="7" width="58.38"/>
  </cols>
  <sheetData>
    <row r="1">
      <c r="A1" s="1" t="s">
        <v>0</v>
      </c>
      <c r="B1" s="2" t="s">
        <v>1</v>
      </c>
      <c r="C1" s="3" t="s">
        <v>2</v>
      </c>
      <c r="D1" s="2" t="s">
        <v>3</v>
      </c>
      <c r="E1" s="2" t="s">
        <v>4</v>
      </c>
      <c r="F1" s="2" t="s">
        <v>5</v>
      </c>
      <c r="G1" s="2" t="s">
        <v>6</v>
      </c>
    </row>
    <row r="2">
      <c r="A2" s="4" t="s">
        <v>7</v>
      </c>
      <c r="B2" s="5" t="s">
        <v>8</v>
      </c>
      <c r="C2" s="6" t="s">
        <v>9</v>
      </c>
      <c r="D2" s="7" t="s">
        <v>3</v>
      </c>
      <c r="E2" s="7" t="s">
        <v>10</v>
      </c>
      <c r="F2" s="8" t="s">
        <v>11</v>
      </c>
      <c r="G2" s="9" t="s">
        <v>12</v>
      </c>
    </row>
    <row r="3">
      <c r="A3" s="4" t="s">
        <v>7</v>
      </c>
      <c r="B3" s="10">
        <v>5015886.0</v>
      </c>
      <c r="C3" s="11" t="s">
        <v>13</v>
      </c>
      <c r="D3" s="12" t="s">
        <v>14</v>
      </c>
      <c r="E3" s="13" t="s">
        <v>15</v>
      </c>
      <c r="F3" s="14">
        <v>0.010231481481481482</v>
      </c>
      <c r="G3" s="15" t="s">
        <v>16</v>
      </c>
    </row>
    <row r="4">
      <c r="A4" s="4" t="s">
        <v>7</v>
      </c>
      <c r="B4" s="10">
        <v>5034165.0</v>
      </c>
      <c r="C4" s="16" t="s">
        <v>17</v>
      </c>
      <c r="D4" s="12" t="s">
        <v>18</v>
      </c>
      <c r="E4" s="13" t="s">
        <v>19</v>
      </c>
      <c r="F4" s="14">
        <v>0.02519675925925926</v>
      </c>
      <c r="G4" s="17" t="s">
        <v>20</v>
      </c>
    </row>
    <row r="5">
      <c r="A5" s="4" t="s">
        <v>7</v>
      </c>
      <c r="B5" s="10">
        <v>2819025.0</v>
      </c>
      <c r="C5" s="16" t="s">
        <v>21</v>
      </c>
      <c r="D5" s="12" t="s">
        <v>18</v>
      </c>
      <c r="E5" s="13" t="s">
        <v>19</v>
      </c>
      <c r="F5" s="14">
        <v>0.024826388888888887</v>
      </c>
      <c r="G5" s="18" t="s">
        <v>22</v>
      </c>
    </row>
    <row r="6">
      <c r="A6" s="4" t="s">
        <v>7</v>
      </c>
      <c r="B6" s="10">
        <v>2825161.0</v>
      </c>
      <c r="C6" s="16" t="s">
        <v>23</v>
      </c>
      <c r="D6" s="12" t="s">
        <v>18</v>
      </c>
      <c r="E6" s="13" t="s">
        <v>19</v>
      </c>
      <c r="F6" s="14">
        <v>0.023680555555555555</v>
      </c>
      <c r="G6" s="15" t="s">
        <v>24</v>
      </c>
    </row>
    <row r="7">
      <c r="A7" s="4" t="s">
        <v>7</v>
      </c>
      <c r="B7" s="10">
        <v>661749.0</v>
      </c>
      <c r="C7" s="16" t="s">
        <v>25</v>
      </c>
      <c r="D7" s="12" t="s">
        <v>18</v>
      </c>
      <c r="E7" s="13" t="s">
        <v>26</v>
      </c>
      <c r="F7" s="14">
        <v>0.02443287037037037</v>
      </c>
      <c r="G7" s="15" t="s">
        <v>27</v>
      </c>
    </row>
    <row r="8">
      <c r="A8" s="4" t="s">
        <v>7</v>
      </c>
      <c r="B8" s="10">
        <v>784282.0</v>
      </c>
      <c r="C8" s="19" t="s">
        <v>28</v>
      </c>
      <c r="D8" s="12" t="s">
        <v>18</v>
      </c>
      <c r="E8" s="13" t="s">
        <v>15</v>
      </c>
      <c r="F8" s="14">
        <v>0.02167824074074074</v>
      </c>
      <c r="G8" s="18"/>
    </row>
    <row r="9">
      <c r="A9" s="4" t="s">
        <v>7</v>
      </c>
      <c r="B9" s="10">
        <v>5010646.0</v>
      </c>
      <c r="C9" s="16" t="s">
        <v>29</v>
      </c>
      <c r="D9" s="12" t="s">
        <v>18</v>
      </c>
      <c r="E9" s="13" t="s">
        <v>15</v>
      </c>
      <c r="F9" s="14">
        <v>0.02980324074074074</v>
      </c>
      <c r="G9" s="15"/>
    </row>
    <row r="10">
      <c r="A10" s="4" t="s">
        <v>7</v>
      </c>
      <c r="B10" s="10">
        <v>2890004.0</v>
      </c>
      <c r="C10" s="16" t="s">
        <v>30</v>
      </c>
      <c r="D10" s="12" t="s">
        <v>31</v>
      </c>
      <c r="E10" s="13" t="s">
        <v>26</v>
      </c>
      <c r="F10" s="14">
        <v>0.03364583333333333</v>
      </c>
      <c r="G10" s="15"/>
    </row>
    <row r="11">
      <c r="A11" s="4" t="s">
        <v>7</v>
      </c>
      <c r="B11" s="10">
        <v>2423393.0</v>
      </c>
      <c r="C11" s="20" t="s">
        <v>32</v>
      </c>
      <c r="D11" s="12" t="s">
        <v>31</v>
      </c>
      <c r="E11" s="13" t="s">
        <v>26</v>
      </c>
      <c r="F11" s="14">
        <v>0.03640046296296296</v>
      </c>
      <c r="G11" s="21"/>
    </row>
    <row r="12">
      <c r="A12" s="4" t="s">
        <v>7</v>
      </c>
      <c r="B12" s="10">
        <v>2888109.0</v>
      </c>
      <c r="C12" s="16" t="s">
        <v>33</v>
      </c>
      <c r="D12" s="12" t="s">
        <v>34</v>
      </c>
      <c r="E12" s="13" t="s">
        <v>15</v>
      </c>
      <c r="F12" s="14">
        <v>0.039907407407407405</v>
      </c>
      <c r="G12" s="21"/>
    </row>
    <row r="13">
      <c r="A13" s="4" t="s">
        <v>7</v>
      </c>
      <c r="B13" s="10">
        <v>2825260.0</v>
      </c>
      <c r="C13" s="16" t="s">
        <v>35</v>
      </c>
      <c r="D13" s="12" t="s">
        <v>34</v>
      </c>
      <c r="E13" s="13" t="s">
        <v>15</v>
      </c>
      <c r="F13" s="14">
        <v>0.035590277777777776</v>
      </c>
      <c r="G13" s="21"/>
    </row>
    <row r="14">
      <c r="A14" s="4" t="s">
        <v>7</v>
      </c>
      <c r="B14" s="10">
        <v>2822683.0</v>
      </c>
      <c r="C14" s="16" t="s">
        <v>36</v>
      </c>
      <c r="D14" s="12" t="s">
        <v>34</v>
      </c>
      <c r="E14" s="13" t="s">
        <v>15</v>
      </c>
      <c r="F14" s="14">
        <v>0.010833333333333334</v>
      </c>
      <c r="G14" s="21"/>
    </row>
    <row r="15">
      <c r="A15" s="4" t="s">
        <v>7</v>
      </c>
      <c r="B15" s="10">
        <v>2804658.0</v>
      </c>
      <c r="C15" s="16" t="s">
        <v>37</v>
      </c>
      <c r="D15" s="12" t="s">
        <v>26</v>
      </c>
      <c r="E15" s="13" t="s">
        <v>38</v>
      </c>
      <c r="F15" s="14">
        <v>0.019097222222222224</v>
      </c>
      <c r="G15" s="21"/>
    </row>
    <row r="16">
      <c r="A16" s="4" t="s">
        <v>7</v>
      </c>
      <c r="B16" s="10">
        <v>661751.0</v>
      </c>
      <c r="C16" s="16" t="s">
        <v>39</v>
      </c>
      <c r="D16" s="12" t="s">
        <v>26</v>
      </c>
      <c r="E16" s="13" t="s">
        <v>38</v>
      </c>
      <c r="F16" s="14">
        <v>0.021296296296296296</v>
      </c>
      <c r="G16" s="22"/>
    </row>
    <row r="17">
      <c r="A17" s="4" t="s">
        <v>7</v>
      </c>
      <c r="B17" s="10">
        <v>625908.0</v>
      </c>
      <c r="C17" s="16" t="s">
        <v>40</v>
      </c>
      <c r="D17" s="12" t="s">
        <v>26</v>
      </c>
      <c r="E17" s="13" t="s">
        <v>38</v>
      </c>
      <c r="F17" s="14">
        <v>0.024965277777777777</v>
      </c>
      <c r="G17" s="21"/>
    </row>
    <row r="18">
      <c r="A18" s="4" t="s">
        <v>7</v>
      </c>
      <c r="B18" s="10">
        <v>155342.0</v>
      </c>
      <c r="C18" s="16" t="s">
        <v>41</v>
      </c>
      <c r="D18" s="12" t="s">
        <v>26</v>
      </c>
      <c r="E18" s="13" t="s">
        <v>38</v>
      </c>
      <c r="F18" s="14">
        <v>0.025034722222222222</v>
      </c>
      <c r="G18" s="21"/>
    </row>
    <row r="19">
      <c r="A19" s="4" t="s">
        <v>7</v>
      </c>
      <c r="B19" s="10">
        <v>2813145.0</v>
      </c>
      <c r="C19" s="16" t="s">
        <v>42</v>
      </c>
      <c r="D19" s="12" t="s">
        <v>26</v>
      </c>
      <c r="E19" s="13" t="s">
        <v>38</v>
      </c>
      <c r="F19" s="14">
        <v>0.011134259259259259</v>
      </c>
      <c r="G19" s="21"/>
    </row>
    <row r="20">
      <c r="A20" s="4" t="s">
        <v>7</v>
      </c>
      <c r="B20" s="10">
        <v>2813184.0</v>
      </c>
      <c r="C20" s="16" t="s">
        <v>43</v>
      </c>
      <c r="D20" s="12" t="s">
        <v>26</v>
      </c>
      <c r="E20" s="13" t="s">
        <v>38</v>
      </c>
      <c r="F20" s="14">
        <v>0.031967592592592596</v>
      </c>
      <c r="G20" s="21"/>
    </row>
    <row r="21">
      <c r="A21" s="4" t="s">
        <v>7</v>
      </c>
      <c r="B21" s="10">
        <v>2813277.0</v>
      </c>
      <c r="C21" s="16" t="s">
        <v>44</v>
      </c>
      <c r="D21" s="12" t="s">
        <v>26</v>
      </c>
      <c r="E21" s="13" t="s">
        <v>38</v>
      </c>
      <c r="F21" s="14">
        <v>0.030532407407407407</v>
      </c>
      <c r="G21" s="21"/>
    </row>
    <row r="22">
      <c r="A22" s="4" t="s">
        <v>7</v>
      </c>
      <c r="B22" s="10">
        <v>2813278.0</v>
      </c>
      <c r="C22" s="16" t="s">
        <v>45</v>
      </c>
      <c r="D22" s="12" t="s">
        <v>26</v>
      </c>
      <c r="E22" s="13" t="s">
        <v>38</v>
      </c>
      <c r="F22" s="14">
        <v>0.025694444444444443</v>
      </c>
      <c r="G22" s="21"/>
    </row>
    <row r="23">
      <c r="A23" s="4" t="s">
        <v>7</v>
      </c>
      <c r="B23" s="10">
        <v>2813279.0</v>
      </c>
      <c r="C23" s="16" t="s">
        <v>46</v>
      </c>
      <c r="D23" s="12" t="s">
        <v>26</v>
      </c>
      <c r="E23" s="13" t="s">
        <v>38</v>
      </c>
      <c r="F23" s="14">
        <v>0.02815972222222222</v>
      </c>
      <c r="G23" s="21"/>
    </row>
    <row r="24">
      <c r="A24" s="4" t="s">
        <v>7</v>
      </c>
      <c r="B24" s="10">
        <v>2814141.0</v>
      </c>
      <c r="C24" s="16" t="s">
        <v>47</v>
      </c>
      <c r="D24" s="12" t="s">
        <v>26</v>
      </c>
      <c r="E24" s="13" t="s">
        <v>38</v>
      </c>
      <c r="F24" s="14">
        <v>0.02652777777777778</v>
      </c>
      <c r="G24" s="21"/>
    </row>
    <row r="25">
      <c r="A25" s="4" t="s">
        <v>7</v>
      </c>
      <c r="B25" s="10">
        <v>2814142.0</v>
      </c>
      <c r="C25" s="16" t="s">
        <v>48</v>
      </c>
      <c r="D25" s="12" t="s">
        <v>26</v>
      </c>
      <c r="E25" s="13" t="s">
        <v>38</v>
      </c>
      <c r="F25" s="14">
        <v>0.041354166666666664</v>
      </c>
      <c r="G25" s="21"/>
    </row>
    <row r="26">
      <c r="A26" s="4" t="s">
        <v>7</v>
      </c>
      <c r="B26" s="10">
        <v>2814143.0</v>
      </c>
      <c r="C26" s="16" t="s">
        <v>49</v>
      </c>
      <c r="D26" s="12" t="s">
        <v>26</v>
      </c>
      <c r="E26" s="13" t="s">
        <v>38</v>
      </c>
      <c r="F26" s="14">
        <v>0.02803240740740741</v>
      </c>
      <c r="G26" s="21"/>
    </row>
    <row r="27">
      <c r="A27" s="4" t="s">
        <v>7</v>
      </c>
      <c r="B27" s="10">
        <v>2815118.0</v>
      </c>
      <c r="C27" s="16" t="s">
        <v>50</v>
      </c>
      <c r="D27" s="12" t="s">
        <v>26</v>
      </c>
      <c r="E27" s="13" t="s">
        <v>38</v>
      </c>
      <c r="F27" s="14">
        <v>0.022222222222222223</v>
      </c>
      <c r="G27" s="21"/>
    </row>
    <row r="28">
      <c r="A28" s="4" t="s">
        <v>7</v>
      </c>
      <c r="B28" s="10">
        <v>2823511.0</v>
      </c>
      <c r="C28" s="16" t="s">
        <v>51</v>
      </c>
      <c r="D28" s="12" t="s">
        <v>26</v>
      </c>
      <c r="E28" s="13" t="s">
        <v>38</v>
      </c>
      <c r="F28" s="14">
        <v>0.03487268518518519</v>
      </c>
      <c r="G28" s="21"/>
    </row>
    <row r="29">
      <c r="A29" s="4" t="s">
        <v>7</v>
      </c>
      <c r="B29" s="10">
        <v>2242039.0</v>
      </c>
      <c r="C29" s="16" t="s">
        <v>52</v>
      </c>
      <c r="D29" s="12" t="s">
        <v>26</v>
      </c>
      <c r="E29" s="13" t="s">
        <v>38</v>
      </c>
      <c r="F29" s="14">
        <v>0.005856481481481482</v>
      </c>
      <c r="G29" s="21"/>
    </row>
    <row r="30">
      <c r="A30" s="4" t="s">
        <v>7</v>
      </c>
      <c r="B30" s="10">
        <v>2822203.0</v>
      </c>
      <c r="C30" s="16" t="s">
        <v>53</v>
      </c>
      <c r="D30" s="12" t="s">
        <v>26</v>
      </c>
      <c r="E30" s="13" t="s">
        <v>38</v>
      </c>
      <c r="F30" s="14">
        <v>0.01835648148148148</v>
      </c>
      <c r="G30" s="21"/>
    </row>
    <row r="31">
      <c r="A31" s="4" t="s">
        <v>7</v>
      </c>
      <c r="B31" s="10">
        <v>2822312.0</v>
      </c>
      <c r="C31" s="16" t="s">
        <v>54</v>
      </c>
      <c r="D31" s="12" t="s">
        <v>26</v>
      </c>
      <c r="E31" s="13" t="s">
        <v>38</v>
      </c>
      <c r="F31" s="14">
        <v>0.01597222222222222</v>
      </c>
      <c r="G31" s="21"/>
    </row>
    <row r="32">
      <c r="A32" s="4" t="s">
        <v>7</v>
      </c>
      <c r="B32" s="10">
        <v>2822639.0</v>
      </c>
      <c r="C32" s="16" t="s">
        <v>55</v>
      </c>
      <c r="D32" s="12" t="s">
        <v>26</v>
      </c>
      <c r="E32" s="13" t="s">
        <v>38</v>
      </c>
      <c r="F32" s="14">
        <v>0.013657407407407408</v>
      </c>
      <c r="G32" s="21"/>
    </row>
    <row r="33">
      <c r="A33" s="4" t="s">
        <v>7</v>
      </c>
      <c r="B33" s="10">
        <v>2815117.0</v>
      </c>
      <c r="C33" s="11" t="s">
        <v>56</v>
      </c>
      <c r="D33" s="12" t="s">
        <v>26</v>
      </c>
      <c r="E33" s="13" t="s">
        <v>38</v>
      </c>
      <c r="F33" s="14">
        <v>0.0309375</v>
      </c>
      <c r="G33" s="21"/>
    </row>
    <row r="34">
      <c r="A34" s="4" t="s">
        <v>7</v>
      </c>
      <c r="B34" s="10">
        <v>2822310.0</v>
      </c>
      <c r="C34" s="16" t="s">
        <v>57</v>
      </c>
      <c r="D34" s="12" t="s">
        <v>26</v>
      </c>
      <c r="E34" s="13" t="s">
        <v>38</v>
      </c>
      <c r="F34" s="14">
        <v>0.018773148148148146</v>
      </c>
      <c r="G34" s="21"/>
    </row>
    <row r="35">
      <c r="A35" s="4" t="s">
        <v>7</v>
      </c>
      <c r="B35" s="10">
        <v>2823512.0</v>
      </c>
      <c r="C35" s="16" t="s">
        <v>58</v>
      </c>
      <c r="D35" s="12" t="s">
        <v>26</v>
      </c>
      <c r="E35" s="13" t="s">
        <v>38</v>
      </c>
      <c r="F35" s="14">
        <v>0.03369212962962963</v>
      </c>
      <c r="G35" s="21"/>
    </row>
    <row r="36">
      <c r="A36" s="4" t="s">
        <v>7</v>
      </c>
      <c r="B36" s="10">
        <v>2823289.0</v>
      </c>
      <c r="C36" s="16" t="s">
        <v>59</v>
      </c>
      <c r="D36" s="12" t="s">
        <v>26</v>
      </c>
      <c r="E36" s="13" t="s">
        <v>38</v>
      </c>
      <c r="F36" s="14">
        <v>0.01678240740740741</v>
      </c>
      <c r="G36" s="21"/>
    </row>
    <row r="37">
      <c r="A37" s="4" t="s">
        <v>7</v>
      </c>
      <c r="B37" s="10">
        <v>2839044.0</v>
      </c>
      <c r="C37" s="16" t="s">
        <v>60</v>
      </c>
      <c r="D37" s="12" t="s">
        <v>26</v>
      </c>
      <c r="E37" s="13" t="s">
        <v>38</v>
      </c>
      <c r="F37" s="14">
        <v>0.00931712962962963</v>
      </c>
      <c r="G37" s="21"/>
    </row>
    <row r="38">
      <c r="A38" s="4" t="s">
        <v>7</v>
      </c>
      <c r="B38" s="10">
        <v>2870084.0</v>
      </c>
      <c r="C38" s="16" t="s">
        <v>61</v>
      </c>
      <c r="D38" s="12" t="s">
        <v>26</v>
      </c>
      <c r="E38" s="13" t="s">
        <v>38</v>
      </c>
      <c r="F38" s="14">
        <v>0.01681712962962963</v>
      </c>
      <c r="G38" s="21"/>
    </row>
    <row r="39">
      <c r="A39" s="4" t="s">
        <v>7</v>
      </c>
      <c r="B39" s="10">
        <v>2366891.0</v>
      </c>
      <c r="C39" s="16" t="s">
        <v>62</v>
      </c>
      <c r="D39" s="12" t="s">
        <v>26</v>
      </c>
      <c r="E39" s="13" t="s">
        <v>38</v>
      </c>
      <c r="F39" s="14">
        <v>0.03128472222222222</v>
      </c>
      <c r="G39" s="21"/>
    </row>
    <row r="40">
      <c r="A40" s="4" t="s">
        <v>7</v>
      </c>
      <c r="B40" s="10">
        <v>2873068.0</v>
      </c>
      <c r="C40" s="16" t="s">
        <v>63</v>
      </c>
      <c r="D40" s="12" t="s">
        <v>26</v>
      </c>
      <c r="E40" s="13" t="s">
        <v>38</v>
      </c>
      <c r="F40" s="14">
        <v>0.013159722222222222</v>
      </c>
      <c r="G40" s="21"/>
    </row>
    <row r="41">
      <c r="A41" s="4" t="s">
        <v>7</v>
      </c>
      <c r="B41" s="10">
        <v>2874006.0</v>
      </c>
      <c r="C41" s="16" t="s">
        <v>64</v>
      </c>
      <c r="D41" s="12" t="s">
        <v>26</v>
      </c>
      <c r="E41" s="13" t="s">
        <v>38</v>
      </c>
      <c r="F41" s="14">
        <v>0.018055555555555554</v>
      </c>
      <c r="G41" s="21"/>
    </row>
    <row r="42">
      <c r="A42" s="4" t="s">
        <v>7</v>
      </c>
      <c r="B42" s="10">
        <v>2875042.0</v>
      </c>
      <c r="C42" s="16" t="s">
        <v>65</v>
      </c>
      <c r="D42" s="12" t="s">
        <v>26</v>
      </c>
      <c r="E42" s="13" t="s">
        <v>38</v>
      </c>
      <c r="F42" s="14">
        <v>0.03532407407407408</v>
      </c>
      <c r="G42" s="21"/>
    </row>
    <row r="43">
      <c r="A43" s="4" t="s">
        <v>7</v>
      </c>
      <c r="B43" s="10">
        <v>2875043.0</v>
      </c>
      <c r="C43" s="16" t="s">
        <v>66</v>
      </c>
      <c r="D43" s="12" t="s">
        <v>26</v>
      </c>
      <c r="E43" s="13" t="s">
        <v>38</v>
      </c>
      <c r="F43" s="14">
        <v>0.016747685185185185</v>
      </c>
      <c r="G43" s="21"/>
    </row>
    <row r="44">
      <c r="A44" s="4" t="s">
        <v>7</v>
      </c>
      <c r="B44" s="10">
        <v>2822030.0</v>
      </c>
      <c r="C44" s="16" t="s">
        <v>67</v>
      </c>
      <c r="D44" s="12" t="s">
        <v>26</v>
      </c>
      <c r="E44" s="13" t="s">
        <v>38</v>
      </c>
      <c r="F44" s="14">
        <v>0.036099537037037034</v>
      </c>
      <c r="G44" s="21"/>
    </row>
    <row r="45">
      <c r="A45" s="4" t="s">
        <v>7</v>
      </c>
      <c r="B45" s="10">
        <v>2885172.0</v>
      </c>
      <c r="C45" s="16" t="s">
        <v>68</v>
      </c>
      <c r="D45" s="12" t="s">
        <v>26</v>
      </c>
      <c r="E45" s="13" t="s">
        <v>38</v>
      </c>
      <c r="F45" s="14">
        <v>0.019965277777777776</v>
      </c>
      <c r="G45" s="21"/>
    </row>
    <row r="46">
      <c r="A46" s="4" t="s">
        <v>7</v>
      </c>
      <c r="B46" s="10">
        <v>2895112.0</v>
      </c>
      <c r="C46" s="16" t="s">
        <v>69</v>
      </c>
      <c r="D46" s="12" t="s">
        <v>26</v>
      </c>
      <c r="E46" s="13" t="s">
        <v>38</v>
      </c>
      <c r="F46" s="14">
        <v>0.036284722222222225</v>
      </c>
      <c r="G46" s="21"/>
    </row>
    <row r="47">
      <c r="A47" s="4" t="s">
        <v>7</v>
      </c>
      <c r="B47" s="10">
        <v>2895003.0</v>
      </c>
      <c r="C47" s="16" t="s">
        <v>70</v>
      </c>
      <c r="D47" s="12" t="s">
        <v>26</v>
      </c>
      <c r="E47" s="13" t="s">
        <v>38</v>
      </c>
      <c r="F47" s="14">
        <v>0.04170138888888889</v>
      </c>
      <c r="G47" s="21"/>
    </row>
    <row r="48">
      <c r="A48" s="4" t="s">
        <v>7</v>
      </c>
      <c r="B48" s="10">
        <v>2425283.0</v>
      </c>
      <c r="C48" s="16" t="s">
        <v>71</v>
      </c>
      <c r="D48" s="12" t="s">
        <v>26</v>
      </c>
      <c r="E48" s="13" t="s">
        <v>38</v>
      </c>
      <c r="F48" s="14">
        <v>0.005625</v>
      </c>
      <c r="G48" s="21"/>
    </row>
    <row r="49">
      <c r="A49" s="4" t="s">
        <v>7</v>
      </c>
      <c r="B49" s="10">
        <v>3004703.0</v>
      </c>
      <c r="C49" s="16" t="s">
        <v>72</v>
      </c>
      <c r="D49" s="12" t="s">
        <v>26</v>
      </c>
      <c r="E49" s="13" t="s">
        <v>38</v>
      </c>
      <c r="F49" s="14">
        <v>0.023310185185185184</v>
      </c>
      <c r="G49" s="21"/>
    </row>
    <row r="50">
      <c r="A50" s="4" t="s">
        <v>7</v>
      </c>
      <c r="B50" s="10">
        <v>3004947.0</v>
      </c>
      <c r="C50" s="16" t="s">
        <v>73</v>
      </c>
      <c r="D50" s="12" t="s">
        <v>26</v>
      </c>
      <c r="E50" s="13" t="s">
        <v>38</v>
      </c>
      <c r="F50" s="14">
        <v>0.015127314814814816</v>
      </c>
      <c r="G50" s="21"/>
    </row>
    <row r="51">
      <c r="A51" s="4" t="s">
        <v>7</v>
      </c>
      <c r="B51" s="10">
        <v>3008781.0</v>
      </c>
      <c r="C51" s="16" t="s">
        <v>74</v>
      </c>
      <c r="D51" s="12" t="s">
        <v>26</v>
      </c>
      <c r="E51" s="13" t="s">
        <v>38</v>
      </c>
      <c r="F51" s="14">
        <v>0.02625</v>
      </c>
      <c r="G51" s="21"/>
    </row>
    <row r="52">
      <c r="A52" s="4" t="s">
        <v>7</v>
      </c>
      <c r="B52" s="10">
        <v>3008782.0</v>
      </c>
      <c r="C52" s="16" t="s">
        <v>75</v>
      </c>
      <c r="D52" s="12" t="s">
        <v>26</v>
      </c>
      <c r="E52" s="13" t="s">
        <v>38</v>
      </c>
      <c r="F52" s="14">
        <v>0.020717592592592593</v>
      </c>
      <c r="G52" s="21"/>
    </row>
    <row r="53">
      <c r="A53" s="4" t="s">
        <v>7</v>
      </c>
      <c r="B53" s="10">
        <v>2450236.0</v>
      </c>
      <c r="C53" s="16" t="s">
        <v>76</v>
      </c>
      <c r="D53" s="12" t="s">
        <v>26</v>
      </c>
      <c r="E53" s="13" t="s">
        <v>38</v>
      </c>
      <c r="F53" s="14">
        <v>0.038125</v>
      </c>
      <c r="G53" s="21"/>
    </row>
    <row r="54">
      <c r="A54" s="4" t="s">
        <v>7</v>
      </c>
      <c r="B54" s="10">
        <v>2450237.0</v>
      </c>
      <c r="C54" s="16" t="s">
        <v>77</v>
      </c>
      <c r="D54" s="12" t="s">
        <v>26</v>
      </c>
      <c r="E54" s="13" t="s">
        <v>38</v>
      </c>
      <c r="F54" s="14">
        <v>0.033125</v>
      </c>
      <c r="G54" s="21"/>
    </row>
    <row r="55">
      <c r="A55" s="4" t="s">
        <v>7</v>
      </c>
      <c r="B55" s="10">
        <v>2822392.0</v>
      </c>
      <c r="C55" s="16" t="s">
        <v>78</v>
      </c>
      <c r="D55" s="12" t="s">
        <v>26</v>
      </c>
      <c r="E55" s="13" t="s">
        <v>19</v>
      </c>
      <c r="F55" s="14">
        <v>0.038622685185185184</v>
      </c>
      <c r="G55" s="21"/>
    </row>
    <row r="56">
      <c r="A56" s="4" t="s">
        <v>7</v>
      </c>
      <c r="B56" s="10">
        <v>2424406.0</v>
      </c>
      <c r="C56" s="16" t="s">
        <v>79</v>
      </c>
      <c r="D56" s="12" t="s">
        <v>26</v>
      </c>
      <c r="E56" s="13" t="s">
        <v>26</v>
      </c>
      <c r="F56" s="14">
        <v>0.025324074074074075</v>
      </c>
      <c r="G56" s="21"/>
    </row>
    <row r="57">
      <c r="A57" s="4" t="s">
        <v>7</v>
      </c>
      <c r="B57" s="10">
        <v>170777.0</v>
      </c>
      <c r="C57" s="16" t="s">
        <v>80</v>
      </c>
      <c r="D57" s="12" t="s">
        <v>26</v>
      </c>
      <c r="E57" s="13" t="s">
        <v>26</v>
      </c>
      <c r="F57" s="14">
        <v>0.023900462962962964</v>
      </c>
      <c r="G57" s="21"/>
    </row>
    <row r="58">
      <c r="A58" s="4" t="s">
        <v>7</v>
      </c>
      <c r="B58" s="10">
        <v>777381.0</v>
      </c>
      <c r="C58" s="16" t="s">
        <v>81</v>
      </c>
      <c r="D58" s="12" t="s">
        <v>26</v>
      </c>
      <c r="E58" s="13" t="s">
        <v>26</v>
      </c>
      <c r="F58" s="14">
        <v>0.03805555555555556</v>
      </c>
      <c r="G58" s="21"/>
    </row>
    <row r="59">
      <c r="A59" s="4" t="s">
        <v>7</v>
      </c>
      <c r="B59" s="10">
        <v>718618.0</v>
      </c>
      <c r="C59" s="16" t="s">
        <v>82</v>
      </c>
      <c r="D59" s="12" t="s">
        <v>26</v>
      </c>
      <c r="E59" s="13" t="s">
        <v>26</v>
      </c>
      <c r="F59" s="14">
        <v>0.03596064814814815</v>
      </c>
      <c r="G59" s="21"/>
    </row>
    <row r="60">
      <c r="A60" s="4" t="s">
        <v>7</v>
      </c>
      <c r="B60" s="10">
        <v>387349.0</v>
      </c>
      <c r="C60" s="16" t="s">
        <v>83</v>
      </c>
      <c r="D60" s="12" t="s">
        <v>26</v>
      </c>
      <c r="E60" s="13" t="s">
        <v>26</v>
      </c>
      <c r="F60" s="14">
        <v>0.033796296296296297</v>
      </c>
      <c r="G60" s="21"/>
    </row>
    <row r="61">
      <c r="A61" s="4" t="s">
        <v>7</v>
      </c>
      <c r="B61" s="10">
        <v>737763.0</v>
      </c>
      <c r="C61" s="16" t="s">
        <v>84</v>
      </c>
      <c r="D61" s="12" t="s">
        <v>26</v>
      </c>
      <c r="E61" s="13" t="s">
        <v>26</v>
      </c>
      <c r="F61" s="14">
        <v>0.02599537037037037</v>
      </c>
      <c r="G61" s="21"/>
    </row>
    <row r="62">
      <c r="A62" s="4" t="s">
        <v>7</v>
      </c>
      <c r="B62" s="10">
        <v>2242041.0</v>
      </c>
      <c r="C62" s="16" t="s">
        <v>85</v>
      </c>
      <c r="D62" s="12" t="s">
        <v>26</v>
      </c>
      <c r="E62" s="13" t="s">
        <v>26</v>
      </c>
      <c r="F62" s="14">
        <v>0.005347222222222222</v>
      </c>
      <c r="G62" s="21"/>
    </row>
    <row r="63">
      <c r="A63" s="4" t="s">
        <v>7</v>
      </c>
      <c r="B63" s="10">
        <v>2244043.0</v>
      </c>
      <c r="C63" s="16" t="s">
        <v>86</v>
      </c>
      <c r="D63" s="12" t="s">
        <v>26</v>
      </c>
      <c r="E63" s="13" t="s">
        <v>26</v>
      </c>
      <c r="F63" s="14">
        <v>0.005474537037037037</v>
      </c>
      <c r="G63" s="21"/>
    </row>
    <row r="64">
      <c r="A64" s="4" t="s">
        <v>7</v>
      </c>
      <c r="B64" s="10">
        <v>2805120.0</v>
      </c>
      <c r="C64" s="16" t="s">
        <v>87</v>
      </c>
      <c r="D64" s="12" t="s">
        <v>26</v>
      </c>
      <c r="E64" s="13" t="s">
        <v>26</v>
      </c>
      <c r="F64" s="14">
        <v>0.01962962962962963</v>
      </c>
      <c r="G64" s="21"/>
    </row>
    <row r="65">
      <c r="A65" s="4" t="s">
        <v>7</v>
      </c>
      <c r="B65" s="10">
        <v>2841516.0</v>
      </c>
      <c r="C65" s="16" t="s">
        <v>88</v>
      </c>
      <c r="D65" s="12" t="s">
        <v>26</v>
      </c>
      <c r="E65" s="13" t="s">
        <v>26</v>
      </c>
      <c r="F65" s="14">
        <v>0.01980324074074074</v>
      </c>
      <c r="G65" s="21"/>
    </row>
    <row r="66">
      <c r="A66" s="4" t="s">
        <v>7</v>
      </c>
      <c r="B66" s="10">
        <v>2801187.0</v>
      </c>
      <c r="C66" s="16" t="s">
        <v>89</v>
      </c>
      <c r="D66" s="12" t="s">
        <v>26</v>
      </c>
      <c r="E66" s="13" t="s">
        <v>26</v>
      </c>
      <c r="F66" s="14">
        <v>0.03744212962962963</v>
      </c>
      <c r="G66" s="21"/>
    </row>
    <row r="67">
      <c r="A67" s="4" t="s">
        <v>7</v>
      </c>
      <c r="B67" s="10">
        <v>2849188.0</v>
      </c>
      <c r="C67" s="16" t="s">
        <v>90</v>
      </c>
      <c r="D67" s="12" t="s">
        <v>26</v>
      </c>
      <c r="E67" s="13" t="s">
        <v>26</v>
      </c>
      <c r="F67" s="14">
        <v>0.029502314814814815</v>
      </c>
      <c r="G67" s="21"/>
    </row>
    <row r="68">
      <c r="A68" s="4" t="s">
        <v>7</v>
      </c>
      <c r="B68" s="10">
        <v>2281181.0</v>
      </c>
      <c r="C68" s="16" t="s">
        <v>91</v>
      </c>
      <c r="D68" s="12" t="s">
        <v>26</v>
      </c>
      <c r="E68" s="13" t="s">
        <v>26</v>
      </c>
      <c r="F68" s="14">
        <v>0.027337962962962963</v>
      </c>
      <c r="G68" s="21"/>
    </row>
    <row r="69">
      <c r="A69" s="4" t="s">
        <v>7</v>
      </c>
      <c r="B69" s="10">
        <v>2825740.0</v>
      </c>
      <c r="C69" s="16" t="s">
        <v>92</v>
      </c>
      <c r="D69" s="12" t="s">
        <v>26</v>
      </c>
      <c r="E69" s="13" t="s">
        <v>26</v>
      </c>
      <c r="F69" s="14">
        <v>0.01511574074074074</v>
      </c>
      <c r="G69" s="21"/>
    </row>
    <row r="70">
      <c r="A70" s="4" t="s">
        <v>7</v>
      </c>
      <c r="B70" s="10">
        <v>3107148.0</v>
      </c>
      <c r="C70" s="16" t="s">
        <v>93</v>
      </c>
      <c r="D70" s="12" t="s">
        <v>26</v>
      </c>
      <c r="E70" s="13" t="s">
        <v>26</v>
      </c>
      <c r="F70" s="14">
        <v>0.013287037037037036</v>
      </c>
      <c r="G70" s="21"/>
    </row>
    <row r="71">
      <c r="A71" s="4" t="s">
        <v>7</v>
      </c>
      <c r="B71" s="10">
        <v>2875016.0</v>
      </c>
      <c r="C71" s="16" t="s">
        <v>94</v>
      </c>
      <c r="D71" s="12" t="s">
        <v>26</v>
      </c>
      <c r="E71" s="13" t="s">
        <v>26</v>
      </c>
      <c r="F71" s="14">
        <v>0.0121875</v>
      </c>
      <c r="G71" s="21"/>
    </row>
    <row r="72">
      <c r="A72" s="4" t="s">
        <v>7</v>
      </c>
      <c r="B72" s="10">
        <v>2833004.0</v>
      </c>
      <c r="C72" s="16" t="s">
        <v>95</v>
      </c>
      <c r="D72" s="12" t="s">
        <v>26</v>
      </c>
      <c r="E72" s="13" t="s">
        <v>26</v>
      </c>
      <c r="F72" s="14">
        <v>0.018113425925925925</v>
      </c>
      <c r="G72" s="21"/>
    </row>
    <row r="73">
      <c r="A73" s="4" t="s">
        <v>7</v>
      </c>
      <c r="B73" s="10">
        <v>2300009.0</v>
      </c>
      <c r="C73" s="16" t="s">
        <v>96</v>
      </c>
      <c r="D73" s="12" t="s">
        <v>26</v>
      </c>
      <c r="E73" s="13" t="s">
        <v>26</v>
      </c>
      <c r="F73" s="14">
        <v>0.034305555555555554</v>
      </c>
      <c r="G73" s="21"/>
    </row>
    <row r="74">
      <c r="A74" s="4" t="s">
        <v>7</v>
      </c>
      <c r="B74" s="10">
        <v>2887218.0</v>
      </c>
      <c r="C74" s="16" t="s">
        <v>97</v>
      </c>
      <c r="D74" s="12" t="s">
        <v>26</v>
      </c>
      <c r="E74" s="13" t="s">
        <v>26</v>
      </c>
      <c r="F74" s="14">
        <v>0.028009259259259258</v>
      </c>
      <c r="G74" s="21"/>
    </row>
    <row r="75">
      <c r="A75" s="4" t="s">
        <v>7</v>
      </c>
      <c r="B75" s="10">
        <v>2895102.0</v>
      </c>
      <c r="C75" s="16" t="s">
        <v>98</v>
      </c>
      <c r="D75" s="12" t="s">
        <v>26</v>
      </c>
      <c r="E75" s="13" t="s">
        <v>26</v>
      </c>
      <c r="F75" s="14">
        <v>0.03596064814814815</v>
      </c>
      <c r="G75" s="21"/>
    </row>
    <row r="76">
      <c r="A76" s="4" t="s">
        <v>7</v>
      </c>
      <c r="B76" s="10">
        <v>3005198.0</v>
      </c>
      <c r="C76" s="16" t="s">
        <v>99</v>
      </c>
      <c r="D76" s="12" t="s">
        <v>26</v>
      </c>
      <c r="E76" s="13" t="s">
        <v>26</v>
      </c>
      <c r="F76" s="14">
        <v>0.016435185185185185</v>
      </c>
      <c r="G76" s="21"/>
    </row>
    <row r="77">
      <c r="A77" s="4" t="s">
        <v>7</v>
      </c>
      <c r="B77" s="10">
        <v>3005199.0</v>
      </c>
      <c r="C77" s="16" t="s">
        <v>100</v>
      </c>
      <c r="D77" s="12" t="s">
        <v>26</v>
      </c>
      <c r="E77" s="13" t="s">
        <v>26</v>
      </c>
      <c r="F77" s="14">
        <v>0.013784722222222223</v>
      </c>
      <c r="G77" s="21"/>
    </row>
    <row r="78">
      <c r="A78" s="4" t="s">
        <v>7</v>
      </c>
      <c r="B78" s="10">
        <v>3010104.0</v>
      </c>
      <c r="C78" s="16" t="s">
        <v>101</v>
      </c>
      <c r="D78" s="12" t="s">
        <v>26</v>
      </c>
      <c r="E78" s="13" t="s">
        <v>26</v>
      </c>
      <c r="F78" s="14">
        <v>0.015775462962962963</v>
      </c>
      <c r="G78" s="21"/>
    </row>
    <row r="79">
      <c r="A79" s="4" t="s">
        <v>7</v>
      </c>
      <c r="B79" s="10">
        <v>3011079.0</v>
      </c>
      <c r="C79" s="16" t="s">
        <v>102</v>
      </c>
      <c r="D79" s="12" t="s">
        <v>26</v>
      </c>
      <c r="E79" s="13" t="s">
        <v>26</v>
      </c>
      <c r="F79" s="14">
        <v>0.015717592592592592</v>
      </c>
      <c r="G79" s="21"/>
    </row>
    <row r="80">
      <c r="A80" s="4" t="s">
        <v>7</v>
      </c>
      <c r="B80" s="10">
        <v>3013041.0</v>
      </c>
      <c r="C80" s="16" t="s">
        <v>103</v>
      </c>
      <c r="D80" s="12" t="s">
        <v>26</v>
      </c>
      <c r="E80" s="13" t="s">
        <v>26</v>
      </c>
      <c r="F80" s="14">
        <v>0.012280092592592592</v>
      </c>
      <c r="G80" s="21"/>
    </row>
    <row r="81">
      <c r="A81" s="4" t="s">
        <v>7</v>
      </c>
      <c r="B81" s="10">
        <v>2422438.0</v>
      </c>
      <c r="C81" s="16" t="s">
        <v>104</v>
      </c>
      <c r="D81" s="12" t="s">
        <v>26</v>
      </c>
      <c r="E81" s="13" t="s">
        <v>26</v>
      </c>
      <c r="F81" s="14">
        <v>0.04040509259259259</v>
      </c>
      <c r="G81" s="21"/>
    </row>
    <row r="82">
      <c r="A82" s="4" t="s">
        <v>7</v>
      </c>
      <c r="B82" s="10">
        <v>2423850.0</v>
      </c>
      <c r="C82" s="16" t="s">
        <v>105</v>
      </c>
      <c r="D82" s="12" t="s">
        <v>26</v>
      </c>
      <c r="E82" s="13" t="s">
        <v>26</v>
      </c>
      <c r="F82" s="14">
        <v>0.07488425925925926</v>
      </c>
      <c r="G82" s="21"/>
    </row>
    <row r="83">
      <c r="A83" s="4" t="s">
        <v>7</v>
      </c>
      <c r="B83" s="10">
        <v>185320.0</v>
      </c>
      <c r="C83" s="16" t="s">
        <v>106</v>
      </c>
      <c r="D83" s="12" t="s">
        <v>26</v>
      </c>
      <c r="E83" s="13" t="s">
        <v>15</v>
      </c>
      <c r="F83" s="14">
        <v>0.012523148148148148</v>
      </c>
      <c r="G83" s="21"/>
    </row>
    <row r="84">
      <c r="A84" s="4" t="s">
        <v>107</v>
      </c>
      <c r="B84" s="5" t="s">
        <v>8</v>
      </c>
      <c r="C84" s="6" t="s">
        <v>9</v>
      </c>
      <c r="D84" s="7" t="s">
        <v>3</v>
      </c>
      <c r="E84" s="7" t="s">
        <v>10</v>
      </c>
      <c r="F84" s="8" t="s">
        <v>11</v>
      </c>
      <c r="G84" s="9" t="s">
        <v>12</v>
      </c>
    </row>
    <row r="85">
      <c r="A85" s="23" t="s">
        <v>107</v>
      </c>
      <c r="B85" s="24">
        <v>689761.0</v>
      </c>
      <c r="C85" s="25" t="s">
        <v>108</v>
      </c>
      <c r="D85" s="26" t="s">
        <v>14</v>
      </c>
      <c r="E85" s="27" t="s">
        <v>109</v>
      </c>
      <c r="F85" s="28">
        <v>0.03929398148148148</v>
      </c>
      <c r="G85" s="29" t="s">
        <v>110</v>
      </c>
    </row>
    <row r="86">
      <c r="A86" s="4" t="s">
        <v>107</v>
      </c>
      <c r="B86" s="10">
        <v>580628.0</v>
      </c>
      <c r="C86" s="16" t="s">
        <v>111</v>
      </c>
      <c r="D86" s="12" t="s">
        <v>14</v>
      </c>
      <c r="E86" s="13" t="s">
        <v>38</v>
      </c>
      <c r="F86" s="14">
        <v>0.03782407407407407</v>
      </c>
      <c r="G86" s="15" t="s">
        <v>112</v>
      </c>
    </row>
    <row r="87">
      <c r="A87" s="4" t="s">
        <v>107</v>
      </c>
      <c r="B87" s="10">
        <v>2815157.0</v>
      </c>
      <c r="C87" s="16" t="s">
        <v>113</v>
      </c>
      <c r="D87" s="12" t="s">
        <v>14</v>
      </c>
      <c r="E87" s="13" t="s">
        <v>38</v>
      </c>
      <c r="F87" s="14">
        <v>0.060162037037037035</v>
      </c>
      <c r="G87" s="15" t="s">
        <v>114</v>
      </c>
    </row>
    <row r="88">
      <c r="A88" s="4" t="s">
        <v>107</v>
      </c>
      <c r="B88" s="10">
        <v>2811712.0</v>
      </c>
      <c r="C88" s="16" t="s">
        <v>115</v>
      </c>
      <c r="D88" s="12" t="s">
        <v>14</v>
      </c>
      <c r="E88" s="13" t="s">
        <v>26</v>
      </c>
      <c r="F88" s="14">
        <v>0.013125</v>
      </c>
      <c r="G88" s="15" t="s">
        <v>116</v>
      </c>
    </row>
    <row r="89">
      <c r="A89" s="4" t="s">
        <v>107</v>
      </c>
      <c r="B89" s="10">
        <v>664805.0</v>
      </c>
      <c r="C89" s="16" t="s">
        <v>117</v>
      </c>
      <c r="D89" s="12" t="s">
        <v>14</v>
      </c>
      <c r="E89" s="13" t="s">
        <v>15</v>
      </c>
      <c r="F89" s="14">
        <v>0.03311342592592593</v>
      </c>
      <c r="G89" s="21"/>
    </row>
    <row r="90">
      <c r="A90" s="4" t="s">
        <v>107</v>
      </c>
      <c r="B90" s="10">
        <v>5015882.0</v>
      </c>
      <c r="C90" s="16" t="s">
        <v>118</v>
      </c>
      <c r="D90" s="12" t="s">
        <v>14</v>
      </c>
      <c r="E90" s="13" t="s">
        <v>15</v>
      </c>
      <c r="F90" s="14">
        <v>0.019085648148148147</v>
      </c>
      <c r="G90" s="21"/>
    </row>
    <row r="91">
      <c r="A91" s="4" t="s">
        <v>107</v>
      </c>
      <c r="B91" s="10">
        <v>2881200.0</v>
      </c>
      <c r="C91" s="16" t="s">
        <v>119</v>
      </c>
      <c r="D91" s="12" t="s">
        <v>18</v>
      </c>
      <c r="E91" s="13" t="s">
        <v>109</v>
      </c>
      <c r="F91" s="14">
        <v>0.02181712962962963</v>
      </c>
      <c r="G91" s="21"/>
    </row>
    <row r="92">
      <c r="A92" s="4" t="s">
        <v>107</v>
      </c>
      <c r="B92" s="10">
        <v>661749.0</v>
      </c>
      <c r="C92" s="16" t="s">
        <v>25</v>
      </c>
      <c r="D92" s="12" t="s">
        <v>18</v>
      </c>
      <c r="E92" s="13" t="s">
        <v>26</v>
      </c>
      <c r="F92" s="14">
        <v>0.02443287037037037</v>
      </c>
      <c r="G92" s="21"/>
    </row>
    <row r="93">
      <c r="A93" s="4" t="s">
        <v>107</v>
      </c>
      <c r="B93" s="10">
        <v>520220.0</v>
      </c>
      <c r="C93" s="16" t="s">
        <v>120</v>
      </c>
      <c r="D93" s="12" t="s">
        <v>18</v>
      </c>
      <c r="E93" s="13" t="s">
        <v>15</v>
      </c>
      <c r="F93" s="14">
        <v>0.03736111111111111</v>
      </c>
      <c r="G93" s="21"/>
    </row>
    <row r="94">
      <c r="A94" s="4" t="s">
        <v>107</v>
      </c>
      <c r="B94" s="10">
        <v>580624.0</v>
      </c>
      <c r="C94" s="16" t="s">
        <v>121</v>
      </c>
      <c r="D94" s="12" t="s">
        <v>18</v>
      </c>
      <c r="E94" s="13" t="s">
        <v>15</v>
      </c>
      <c r="F94" s="14">
        <v>0.03596064814814815</v>
      </c>
      <c r="G94" s="21"/>
    </row>
    <row r="95">
      <c r="A95" s="4" t="s">
        <v>107</v>
      </c>
      <c r="B95" s="10">
        <v>2807856.0</v>
      </c>
      <c r="C95" s="16" t="s">
        <v>122</v>
      </c>
      <c r="D95" s="12" t="s">
        <v>34</v>
      </c>
      <c r="E95" s="13" t="s">
        <v>26</v>
      </c>
      <c r="F95" s="14">
        <v>0.02775462962962963</v>
      </c>
      <c r="G95" s="21"/>
    </row>
    <row r="96">
      <c r="A96" s="4" t="s">
        <v>107</v>
      </c>
      <c r="B96" s="10">
        <v>711796.0</v>
      </c>
      <c r="C96" s="16" t="s">
        <v>123</v>
      </c>
      <c r="D96" s="12" t="s">
        <v>34</v>
      </c>
      <c r="E96" s="13" t="s">
        <v>15</v>
      </c>
      <c r="F96" s="14">
        <v>0.05744212962962963</v>
      </c>
      <c r="G96" s="21"/>
    </row>
    <row r="97">
      <c r="A97" s="4" t="s">
        <v>107</v>
      </c>
      <c r="B97" s="10">
        <v>753899.0</v>
      </c>
      <c r="C97" s="16" t="s">
        <v>124</v>
      </c>
      <c r="D97" s="12" t="s">
        <v>34</v>
      </c>
      <c r="E97" s="13" t="s">
        <v>15</v>
      </c>
      <c r="F97" s="14">
        <v>0.02295138888888889</v>
      </c>
      <c r="G97" s="21"/>
    </row>
    <row r="98">
      <c r="A98" s="4" t="s">
        <v>107</v>
      </c>
      <c r="B98" s="10">
        <v>5022327.0</v>
      </c>
      <c r="C98" s="16" t="s">
        <v>125</v>
      </c>
      <c r="D98" s="12" t="s">
        <v>34</v>
      </c>
      <c r="E98" s="13" t="s">
        <v>15</v>
      </c>
      <c r="F98" s="14">
        <v>0.014861111111111111</v>
      </c>
      <c r="G98" s="21"/>
    </row>
    <row r="99">
      <c r="A99" s="4" t="s">
        <v>107</v>
      </c>
      <c r="B99" s="10">
        <v>2421749.0</v>
      </c>
      <c r="C99" s="16" t="s">
        <v>126</v>
      </c>
      <c r="D99" s="12" t="s">
        <v>34</v>
      </c>
      <c r="E99" s="13" t="s">
        <v>15</v>
      </c>
      <c r="F99" s="14">
        <v>0.03246527777777778</v>
      </c>
      <c r="G99" s="21"/>
    </row>
    <row r="100">
      <c r="A100" s="4" t="s">
        <v>107</v>
      </c>
      <c r="B100" s="10">
        <v>2880191.0</v>
      </c>
      <c r="C100" s="16" t="s">
        <v>127</v>
      </c>
      <c r="D100" s="12" t="s">
        <v>31</v>
      </c>
      <c r="E100" s="13" t="s">
        <v>38</v>
      </c>
      <c r="F100" s="14">
        <v>0.01855324074074074</v>
      </c>
      <c r="G100" s="21"/>
    </row>
    <row r="101">
      <c r="A101" s="4" t="s">
        <v>107</v>
      </c>
      <c r="B101" s="10">
        <v>2880016.0</v>
      </c>
      <c r="C101" s="16" t="s">
        <v>128</v>
      </c>
      <c r="D101" s="12" t="s">
        <v>31</v>
      </c>
      <c r="E101" s="13" t="s">
        <v>26</v>
      </c>
      <c r="F101" s="14">
        <v>0.03934027777777778</v>
      </c>
      <c r="G101" s="21"/>
    </row>
    <row r="102">
      <c r="A102" s="4" t="s">
        <v>107</v>
      </c>
      <c r="B102" s="10">
        <v>2881151.0</v>
      </c>
      <c r="C102" s="16" t="s">
        <v>129</v>
      </c>
      <c r="D102" s="12" t="s">
        <v>31</v>
      </c>
      <c r="E102" s="13" t="s">
        <v>26</v>
      </c>
      <c r="F102" s="14">
        <v>0.022569444444444444</v>
      </c>
      <c r="G102" s="21"/>
    </row>
    <row r="103">
      <c r="A103" s="4" t="s">
        <v>107</v>
      </c>
      <c r="B103" s="10">
        <v>2823579.0</v>
      </c>
      <c r="C103" s="16" t="s">
        <v>130</v>
      </c>
      <c r="D103" s="12" t="s">
        <v>26</v>
      </c>
      <c r="E103" s="13" t="s">
        <v>109</v>
      </c>
      <c r="F103" s="14">
        <v>0.022662037037037036</v>
      </c>
      <c r="G103" s="21"/>
    </row>
    <row r="104">
      <c r="A104" s="4" t="s">
        <v>107</v>
      </c>
      <c r="B104" s="10">
        <v>2874005.0</v>
      </c>
      <c r="C104" s="16" t="s">
        <v>131</v>
      </c>
      <c r="D104" s="12" t="s">
        <v>26</v>
      </c>
      <c r="E104" s="13" t="s">
        <v>38</v>
      </c>
      <c r="F104" s="14">
        <v>0.01678240740740741</v>
      </c>
      <c r="G104" s="21"/>
    </row>
    <row r="105">
      <c r="A105" s="4" t="s">
        <v>107</v>
      </c>
      <c r="B105" s="10">
        <v>2876024.0</v>
      </c>
      <c r="C105" s="16" t="s">
        <v>132</v>
      </c>
      <c r="D105" s="12" t="s">
        <v>26</v>
      </c>
      <c r="E105" s="13" t="s">
        <v>38</v>
      </c>
      <c r="F105" s="14">
        <v>0.0190625</v>
      </c>
      <c r="G105" s="22"/>
    </row>
    <row r="106">
      <c r="A106" s="4" t="s">
        <v>107</v>
      </c>
      <c r="B106" s="10">
        <v>2282149.0</v>
      </c>
      <c r="C106" s="16" t="s">
        <v>133</v>
      </c>
      <c r="D106" s="12" t="s">
        <v>26</v>
      </c>
      <c r="E106" s="13" t="s">
        <v>38</v>
      </c>
      <c r="F106" s="14">
        <v>0.021886574074074076</v>
      </c>
      <c r="G106" s="21"/>
    </row>
    <row r="107">
      <c r="A107" s="4" t="s">
        <v>107</v>
      </c>
      <c r="B107" s="10">
        <v>661751.0</v>
      </c>
      <c r="C107" s="16" t="s">
        <v>39</v>
      </c>
      <c r="D107" s="12" t="s">
        <v>26</v>
      </c>
      <c r="E107" s="13" t="s">
        <v>38</v>
      </c>
      <c r="F107" s="14">
        <v>0.021296296296296296</v>
      </c>
      <c r="G107" s="21"/>
    </row>
    <row r="108">
      <c r="A108" s="4" t="s">
        <v>107</v>
      </c>
      <c r="B108" s="10">
        <v>2810626.0</v>
      </c>
      <c r="C108" s="16" t="s">
        <v>134</v>
      </c>
      <c r="D108" s="12" t="s">
        <v>26</v>
      </c>
      <c r="E108" s="13" t="s">
        <v>38</v>
      </c>
      <c r="F108" s="14">
        <v>0.014722222222222222</v>
      </c>
      <c r="G108" s="21"/>
    </row>
    <row r="109">
      <c r="A109" s="4" t="s">
        <v>107</v>
      </c>
      <c r="B109" s="10">
        <v>2811713.0</v>
      </c>
      <c r="C109" s="16" t="s">
        <v>135</v>
      </c>
      <c r="D109" s="12" t="s">
        <v>26</v>
      </c>
      <c r="E109" s="13" t="s">
        <v>38</v>
      </c>
      <c r="F109" s="14">
        <v>0.016724537037037038</v>
      </c>
      <c r="G109" s="21"/>
    </row>
    <row r="110">
      <c r="A110" s="4" t="s">
        <v>107</v>
      </c>
      <c r="B110" s="10">
        <v>2812532.0</v>
      </c>
      <c r="C110" s="16" t="s">
        <v>136</v>
      </c>
      <c r="D110" s="12" t="s">
        <v>26</v>
      </c>
      <c r="E110" s="13" t="s">
        <v>38</v>
      </c>
      <c r="F110" s="14">
        <v>0.018796296296296297</v>
      </c>
      <c r="G110" s="21"/>
    </row>
    <row r="111">
      <c r="A111" s="4" t="s">
        <v>107</v>
      </c>
      <c r="B111" s="10">
        <v>2822310.0</v>
      </c>
      <c r="C111" s="16" t="s">
        <v>57</v>
      </c>
      <c r="D111" s="12" t="s">
        <v>26</v>
      </c>
      <c r="E111" s="13" t="s">
        <v>38</v>
      </c>
      <c r="F111" s="14">
        <v>0.018773148148148146</v>
      </c>
      <c r="G111" s="21"/>
    </row>
    <row r="112">
      <c r="A112" s="4" t="s">
        <v>107</v>
      </c>
      <c r="B112" s="10">
        <v>2823252.0</v>
      </c>
      <c r="C112" s="16" t="s">
        <v>137</v>
      </c>
      <c r="D112" s="12" t="s">
        <v>26</v>
      </c>
      <c r="E112" s="13" t="s">
        <v>38</v>
      </c>
      <c r="F112" s="14">
        <v>0.017719907407407406</v>
      </c>
      <c r="G112" s="21"/>
    </row>
    <row r="113">
      <c r="A113" s="4" t="s">
        <v>107</v>
      </c>
      <c r="B113" s="10">
        <v>2885014.0</v>
      </c>
      <c r="C113" s="16" t="s">
        <v>138</v>
      </c>
      <c r="D113" s="12" t="s">
        <v>26</v>
      </c>
      <c r="E113" s="13" t="s">
        <v>38</v>
      </c>
      <c r="F113" s="14">
        <v>0.033900462962962966</v>
      </c>
      <c r="G113" s="21"/>
    </row>
    <row r="114">
      <c r="A114" s="4" t="s">
        <v>107</v>
      </c>
      <c r="B114" s="10">
        <v>2886013.0</v>
      </c>
      <c r="C114" s="16" t="s">
        <v>139</v>
      </c>
      <c r="D114" s="12" t="s">
        <v>26</v>
      </c>
      <c r="E114" s="13" t="s">
        <v>38</v>
      </c>
      <c r="F114" s="14">
        <v>0.02318287037037037</v>
      </c>
      <c r="G114" s="21"/>
    </row>
    <row r="115">
      <c r="A115" s="4" t="s">
        <v>107</v>
      </c>
      <c r="B115" s="10">
        <v>2883047.0</v>
      </c>
      <c r="C115" s="16" t="s">
        <v>140</v>
      </c>
      <c r="D115" s="12" t="s">
        <v>26</v>
      </c>
      <c r="E115" s="13" t="s">
        <v>38</v>
      </c>
      <c r="F115" s="14">
        <v>0.030393518518518518</v>
      </c>
      <c r="G115" s="21"/>
    </row>
    <row r="116">
      <c r="A116" s="4" t="s">
        <v>107</v>
      </c>
      <c r="B116" s="10">
        <v>2880190.0</v>
      </c>
      <c r="C116" s="16" t="s">
        <v>141</v>
      </c>
      <c r="D116" s="12" t="s">
        <v>26</v>
      </c>
      <c r="E116" s="13" t="s">
        <v>38</v>
      </c>
      <c r="F116" s="14">
        <v>0.018449074074074073</v>
      </c>
      <c r="G116" s="21"/>
    </row>
    <row r="117">
      <c r="A117" s="4" t="s">
        <v>107</v>
      </c>
      <c r="B117" s="10">
        <v>2424324.0</v>
      </c>
      <c r="C117" s="16" t="s">
        <v>142</v>
      </c>
      <c r="D117" s="12" t="s">
        <v>26</v>
      </c>
      <c r="E117" s="13" t="s">
        <v>38</v>
      </c>
      <c r="F117" s="14">
        <v>0.005439814814814815</v>
      </c>
      <c r="G117" s="21"/>
    </row>
    <row r="118">
      <c r="A118" s="4" t="s">
        <v>107</v>
      </c>
      <c r="B118" s="10">
        <v>2423652.0</v>
      </c>
      <c r="C118" s="16" t="s">
        <v>143</v>
      </c>
      <c r="D118" s="12" t="s">
        <v>26</v>
      </c>
      <c r="E118" s="13" t="s">
        <v>38</v>
      </c>
      <c r="F118" s="14">
        <v>0.010185185185185186</v>
      </c>
      <c r="G118" s="21"/>
    </row>
    <row r="119">
      <c r="A119" s="4" t="s">
        <v>107</v>
      </c>
      <c r="B119" s="10">
        <v>3007571.0</v>
      </c>
      <c r="C119" s="16" t="s">
        <v>144</v>
      </c>
      <c r="D119" s="12" t="s">
        <v>26</v>
      </c>
      <c r="E119" s="13" t="s">
        <v>38</v>
      </c>
      <c r="F119" s="14">
        <v>0.05309027777777778</v>
      </c>
      <c r="G119" s="21"/>
    </row>
    <row r="120">
      <c r="A120" s="4" t="s">
        <v>107</v>
      </c>
      <c r="B120" s="10">
        <v>3010972.0</v>
      </c>
      <c r="C120" s="16" t="s">
        <v>145</v>
      </c>
      <c r="D120" s="12" t="s">
        <v>26</v>
      </c>
      <c r="E120" s="13" t="s">
        <v>38</v>
      </c>
      <c r="F120" s="14">
        <v>0.012523148148148148</v>
      </c>
      <c r="G120" s="21"/>
    </row>
    <row r="121">
      <c r="A121" s="4" t="s">
        <v>107</v>
      </c>
      <c r="B121" s="10">
        <v>2448227.0</v>
      </c>
      <c r="C121" s="16" t="s">
        <v>146</v>
      </c>
      <c r="D121" s="12" t="s">
        <v>26</v>
      </c>
      <c r="E121" s="13" t="s">
        <v>38</v>
      </c>
      <c r="F121" s="14">
        <v>0.03238425925925926</v>
      </c>
      <c r="G121" s="21"/>
    </row>
    <row r="122">
      <c r="A122" s="4" t="s">
        <v>107</v>
      </c>
      <c r="B122" s="10">
        <v>2449236.0</v>
      </c>
      <c r="C122" s="16" t="s">
        <v>147</v>
      </c>
      <c r="D122" s="12" t="s">
        <v>26</v>
      </c>
      <c r="E122" s="13" t="s">
        <v>38</v>
      </c>
      <c r="F122" s="14">
        <v>0.9840277777777777</v>
      </c>
      <c r="G122" s="21"/>
    </row>
    <row r="123">
      <c r="A123" s="4" t="s">
        <v>107</v>
      </c>
      <c r="B123" s="10">
        <v>2835068.0</v>
      </c>
      <c r="C123" s="16" t="s">
        <v>148</v>
      </c>
      <c r="D123" s="12" t="s">
        <v>26</v>
      </c>
      <c r="E123" s="13" t="s">
        <v>19</v>
      </c>
      <c r="F123" s="14">
        <v>0.022569444444444444</v>
      </c>
      <c r="G123" s="21"/>
    </row>
    <row r="124">
      <c r="A124" s="4" t="s">
        <v>107</v>
      </c>
      <c r="B124" s="10">
        <v>659269.0</v>
      </c>
      <c r="C124" s="16" t="s">
        <v>149</v>
      </c>
      <c r="D124" s="12" t="s">
        <v>26</v>
      </c>
      <c r="E124" s="13" t="s">
        <v>19</v>
      </c>
      <c r="F124" s="14">
        <v>0.04026620370370371</v>
      </c>
      <c r="G124" s="30"/>
    </row>
    <row r="125">
      <c r="A125" s="4" t="s">
        <v>107</v>
      </c>
      <c r="B125" s="10">
        <v>170777.0</v>
      </c>
      <c r="C125" s="16" t="s">
        <v>80</v>
      </c>
      <c r="D125" s="12" t="s">
        <v>26</v>
      </c>
      <c r="E125" s="13" t="s">
        <v>26</v>
      </c>
      <c r="F125" s="14">
        <v>0.023900462962962964</v>
      </c>
      <c r="G125" s="21"/>
    </row>
    <row r="126">
      <c r="A126" s="4" t="s">
        <v>107</v>
      </c>
      <c r="B126" s="10">
        <v>363225.0</v>
      </c>
      <c r="C126" s="16" t="s">
        <v>150</v>
      </c>
      <c r="D126" s="12" t="s">
        <v>26</v>
      </c>
      <c r="E126" s="13" t="s">
        <v>26</v>
      </c>
      <c r="F126" s="14">
        <v>0.018078703703703704</v>
      </c>
      <c r="G126" s="21"/>
    </row>
    <row r="127">
      <c r="A127" s="4" t="s">
        <v>107</v>
      </c>
      <c r="B127" s="10">
        <v>718618.0</v>
      </c>
      <c r="C127" s="16" t="s">
        <v>82</v>
      </c>
      <c r="D127" s="12" t="s">
        <v>26</v>
      </c>
      <c r="E127" s="13" t="s">
        <v>26</v>
      </c>
      <c r="F127" s="14">
        <v>0.03596064814814815</v>
      </c>
      <c r="G127" s="21"/>
    </row>
    <row r="128">
      <c r="A128" s="4" t="s">
        <v>107</v>
      </c>
      <c r="B128" s="10">
        <v>718628.0</v>
      </c>
      <c r="C128" s="16" t="s">
        <v>151</v>
      </c>
      <c r="D128" s="12" t="s">
        <v>26</v>
      </c>
      <c r="E128" s="13" t="s">
        <v>26</v>
      </c>
      <c r="F128" s="14">
        <v>0.0409375</v>
      </c>
      <c r="G128" s="21"/>
    </row>
    <row r="129">
      <c r="A129" s="4" t="s">
        <v>107</v>
      </c>
      <c r="B129" s="10">
        <v>777381.0</v>
      </c>
      <c r="C129" s="16" t="s">
        <v>81</v>
      </c>
      <c r="D129" s="12" t="s">
        <v>26</v>
      </c>
      <c r="E129" s="13" t="s">
        <v>26</v>
      </c>
      <c r="F129" s="14">
        <v>0.03805555555555556</v>
      </c>
      <c r="G129" s="21"/>
    </row>
    <row r="130">
      <c r="A130" s="4" t="s">
        <v>107</v>
      </c>
      <c r="B130" s="10">
        <v>5015862.0</v>
      </c>
      <c r="C130" s="16" t="s">
        <v>152</v>
      </c>
      <c r="D130" s="12" t="s">
        <v>26</v>
      </c>
      <c r="E130" s="13" t="s">
        <v>26</v>
      </c>
      <c r="F130" s="14">
        <v>0.009872685185185186</v>
      </c>
      <c r="G130" s="21"/>
    </row>
    <row r="131">
      <c r="A131" s="4" t="s">
        <v>107</v>
      </c>
      <c r="B131" s="10">
        <v>387349.0</v>
      </c>
      <c r="C131" s="16" t="s">
        <v>83</v>
      </c>
      <c r="D131" s="12" t="s">
        <v>26</v>
      </c>
      <c r="E131" s="13" t="s">
        <v>26</v>
      </c>
      <c r="F131" s="14">
        <v>0.033796296296296297</v>
      </c>
      <c r="G131" s="21"/>
    </row>
    <row r="132">
      <c r="A132" s="4" t="s">
        <v>107</v>
      </c>
      <c r="B132" s="10">
        <v>2834040.0</v>
      </c>
      <c r="C132" s="16" t="s">
        <v>153</v>
      </c>
      <c r="D132" s="12" t="s">
        <v>26</v>
      </c>
      <c r="E132" s="13" t="s">
        <v>26</v>
      </c>
      <c r="F132" s="14">
        <v>0.024537037037037038</v>
      </c>
      <c r="G132" s="21"/>
    </row>
    <row r="133">
      <c r="A133" s="4" t="s">
        <v>107</v>
      </c>
      <c r="B133" s="10">
        <v>2841516.0</v>
      </c>
      <c r="C133" s="16" t="s">
        <v>88</v>
      </c>
      <c r="D133" s="12" t="s">
        <v>26</v>
      </c>
      <c r="E133" s="13" t="s">
        <v>26</v>
      </c>
      <c r="F133" s="14">
        <v>0.01980324074074074</v>
      </c>
      <c r="G133" s="21"/>
    </row>
    <row r="134">
      <c r="A134" s="4" t="s">
        <v>107</v>
      </c>
      <c r="B134" s="10">
        <v>2805117.0</v>
      </c>
      <c r="C134" s="16" t="s">
        <v>154</v>
      </c>
      <c r="D134" s="12" t="s">
        <v>26</v>
      </c>
      <c r="E134" s="13" t="s">
        <v>26</v>
      </c>
      <c r="F134" s="14">
        <v>0.030740740740740742</v>
      </c>
      <c r="G134" s="21"/>
    </row>
    <row r="135">
      <c r="A135" s="4" t="s">
        <v>107</v>
      </c>
      <c r="B135" s="10">
        <v>2849188.0</v>
      </c>
      <c r="C135" s="16" t="s">
        <v>90</v>
      </c>
      <c r="D135" s="12" t="s">
        <v>26</v>
      </c>
      <c r="E135" s="13" t="s">
        <v>26</v>
      </c>
      <c r="F135" s="14">
        <v>0.029502314814814815</v>
      </c>
      <c r="G135" s="21"/>
    </row>
    <row r="136">
      <c r="A136" s="4" t="s">
        <v>107</v>
      </c>
      <c r="B136" s="10">
        <v>2883208.0</v>
      </c>
      <c r="C136" s="16" t="s">
        <v>155</v>
      </c>
      <c r="D136" s="12" t="s">
        <v>26</v>
      </c>
      <c r="E136" s="13" t="s">
        <v>26</v>
      </c>
      <c r="F136" s="14">
        <v>0.01238425925925926</v>
      </c>
      <c r="G136" s="21"/>
    </row>
    <row r="137">
      <c r="A137" s="4" t="s">
        <v>107</v>
      </c>
      <c r="B137" s="10">
        <v>2887258.0</v>
      </c>
      <c r="C137" s="16" t="s">
        <v>156</v>
      </c>
      <c r="D137" s="12" t="s">
        <v>26</v>
      </c>
      <c r="E137" s="13" t="s">
        <v>26</v>
      </c>
      <c r="F137" s="14">
        <v>0.04346064814814815</v>
      </c>
      <c r="G137" s="21"/>
    </row>
    <row r="138">
      <c r="A138" s="4" t="s">
        <v>107</v>
      </c>
      <c r="B138" s="10">
        <v>2896887.0</v>
      </c>
      <c r="C138" s="16" t="s">
        <v>157</v>
      </c>
      <c r="D138" s="12" t="s">
        <v>26</v>
      </c>
      <c r="E138" s="13" t="s">
        <v>26</v>
      </c>
      <c r="F138" s="14">
        <v>0.033900462962962966</v>
      </c>
      <c r="G138" s="21"/>
    </row>
    <row r="139">
      <c r="A139" s="4" t="s">
        <v>107</v>
      </c>
      <c r="B139" s="10">
        <v>699331.0</v>
      </c>
      <c r="C139" s="16" t="s">
        <v>158</v>
      </c>
      <c r="D139" s="12" t="s">
        <v>26</v>
      </c>
      <c r="E139" s="13" t="s">
        <v>15</v>
      </c>
      <c r="F139" s="14">
        <v>0.03329861111111111</v>
      </c>
      <c r="G139" s="21"/>
    </row>
    <row r="140">
      <c r="A140" s="4" t="s">
        <v>107</v>
      </c>
      <c r="B140" s="10">
        <v>753898.0</v>
      </c>
      <c r="C140" s="16" t="s">
        <v>159</v>
      </c>
      <c r="D140" s="12" t="s">
        <v>26</v>
      </c>
      <c r="E140" s="13" t="s">
        <v>15</v>
      </c>
      <c r="F140" s="14">
        <v>0.025277777777777777</v>
      </c>
      <c r="G140" s="21"/>
    </row>
    <row r="141">
      <c r="A141" s="4" t="s">
        <v>160</v>
      </c>
      <c r="B141" s="5" t="s">
        <v>8</v>
      </c>
      <c r="C141" s="6" t="s">
        <v>9</v>
      </c>
      <c r="D141" s="7" t="s">
        <v>3</v>
      </c>
      <c r="E141" s="7" t="s">
        <v>10</v>
      </c>
      <c r="F141" s="8" t="s">
        <v>11</v>
      </c>
      <c r="G141" s="9" t="s">
        <v>12</v>
      </c>
    </row>
    <row r="142">
      <c r="A142" s="4" t="s">
        <v>160</v>
      </c>
      <c r="B142" s="10">
        <v>693111.0</v>
      </c>
      <c r="C142" s="16" t="s">
        <v>161</v>
      </c>
      <c r="D142" s="12" t="s">
        <v>14</v>
      </c>
      <c r="E142" s="13" t="s">
        <v>109</v>
      </c>
      <c r="F142" s="14">
        <v>0.04199074074074074</v>
      </c>
      <c r="G142" s="18" t="s">
        <v>162</v>
      </c>
    </row>
    <row r="143">
      <c r="A143" s="4" t="s">
        <v>160</v>
      </c>
      <c r="B143" s="10">
        <v>580628.0</v>
      </c>
      <c r="C143" s="16" t="s">
        <v>111</v>
      </c>
      <c r="D143" s="12" t="s">
        <v>14</v>
      </c>
      <c r="E143" s="13" t="s">
        <v>38</v>
      </c>
      <c r="F143" s="14">
        <v>0.03782407407407407</v>
      </c>
      <c r="G143" s="15" t="s">
        <v>163</v>
      </c>
    </row>
    <row r="144">
      <c r="A144" s="23" t="s">
        <v>160</v>
      </c>
      <c r="B144" s="24">
        <v>479849.0</v>
      </c>
      <c r="C144" s="25" t="s">
        <v>164</v>
      </c>
      <c r="D144" s="26" t="s">
        <v>14</v>
      </c>
      <c r="E144" s="27" t="s">
        <v>26</v>
      </c>
      <c r="F144" s="28">
        <v>0.05971064814814815</v>
      </c>
      <c r="G144" s="17" t="s">
        <v>165</v>
      </c>
    </row>
    <row r="145">
      <c r="A145" s="4" t="s">
        <v>160</v>
      </c>
      <c r="B145" s="10">
        <v>797722.0</v>
      </c>
      <c r="C145" s="16" t="s">
        <v>166</v>
      </c>
      <c r="D145" s="12" t="s">
        <v>14</v>
      </c>
      <c r="E145" s="13" t="s">
        <v>15</v>
      </c>
      <c r="F145" s="14">
        <v>0.030983796296296297</v>
      </c>
      <c r="G145" s="15" t="s">
        <v>167</v>
      </c>
    </row>
    <row r="146">
      <c r="A146" s="23" t="s">
        <v>160</v>
      </c>
      <c r="B146" s="24">
        <v>574670.0</v>
      </c>
      <c r="C146" s="25" t="s">
        <v>168</v>
      </c>
      <c r="D146" s="26" t="s">
        <v>18</v>
      </c>
      <c r="E146" s="27" t="s">
        <v>109</v>
      </c>
      <c r="F146" s="28">
        <v>0.04457175925925926</v>
      </c>
      <c r="G146" s="17" t="s">
        <v>169</v>
      </c>
    </row>
    <row r="147">
      <c r="A147" s="4" t="s">
        <v>160</v>
      </c>
      <c r="B147" s="10">
        <v>2424658.0</v>
      </c>
      <c r="C147" s="16" t="s">
        <v>170</v>
      </c>
      <c r="D147" s="12" t="s">
        <v>18</v>
      </c>
      <c r="E147" s="13" t="s">
        <v>38</v>
      </c>
      <c r="F147" s="14">
        <v>0.01068287037037037</v>
      </c>
      <c r="G147" s="15" t="s">
        <v>171</v>
      </c>
    </row>
    <row r="148">
      <c r="A148" s="4" t="s">
        <v>160</v>
      </c>
      <c r="B148" s="10">
        <v>661748.0</v>
      </c>
      <c r="C148" s="16" t="s">
        <v>172</v>
      </c>
      <c r="D148" s="12" t="s">
        <v>18</v>
      </c>
      <c r="E148" s="13" t="s">
        <v>19</v>
      </c>
      <c r="F148" s="14">
        <v>0.03037037037037037</v>
      </c>
      <c r="G148" s="21"/>
    </row>
    <row r="149">
      <c r="A149" s="4" t="s">
        <v>160</v>
      </c>
      <c r="B149" s="10">
        <v>2819025.0</v>
      </c>
      <c r="C149" s="16" t="s">
        <v>21</v>
      </c>
      <c r="D149" s="12" t="s">
        <v>18</v>
      </c>
      <c r="E149" s="13" t="s">
        <v>19</v>
      </c>
      <c r="F149" s="14">
        <v>0.024826388888888887</v>
      </c>
      <c r="G149" s="21"/>
    </row>
    <row r="150">
      <c r="A150" s="4" t="s">
        <v>160</v>
      </c>
      <c r="B150" s="10">
        <v>565364.0</v>
      </c>
      <c r="C150" s="16" t="s">
        <v>173</v>
      </c>
      <c r="D150" s="12" t="s">
        <v>18</v>
      </c>
      <c r="E150" s="13" t="s">
        <v>15</v>
      </c>
      <c r="F150" s="14">
        <v>0.01412037037037037</v>
      </c>
      <c r="G150" s="21"/>
    </row>
    <row r="151">
      <c r="A151" s="4" t="s">
        <v>160</v>
      </c>
      <c r="B151" s="10">
        <v>427474.0</v>
      </c>
      <c r="C151" s="16" t="s">
        <v>174</v>
      </c>
      <c r="D151" s="12" t="s">
        <v>34</v>
      </c>
      <c r="E151" s="13" t="s">
        <v>38</v>
      </c>
      <c r="F151" s="14">
        <v>0.0390625</v>
      </c>
      <c r="G151" s="21"/>
    </row>
    <row r="152">
      <c r="A152" s="4" t="s">
        <v>160</v>
      </c>
      <c r="B152" s="10">
        <v>456353.0</v>
      </c>
      <c r="C152" s="16" t="s">
        <v>175</v>
      </c>
      <c r="D152" s="12" t="s">
        <v>34</v>
      </c>
      <c r="E152" s="13" t="s">
        <v>38</v>
      </c>
      <c r="F152" s="14">
        <v>0.03857638888888889</v>
      </c>
      <c r="G152" s="21"/>
    </row>
    <row r="153">
      <c r="A153" s="4" t="s">
        <v>160</v>
      </c>
      <c r="B153" s="10">
        <v>2823297.0</v>
      </c>
      <c r="C153" s="16" t="s">
        <v>176</v>
      </c>
      <c r="D153" s="12" t="s">
        <v>34</v>
      </c>
      <c r="E153" s="13" t="s">
        <v>38</v>
      </c>
      <c r="F153" s="14">
        <v>0.06542824074074075</v>
      </c>
      <c r="G153" s="21"/>
    </row>
    <row r="154">
      <c r="A154" s="4" t="s">
        <v>160</v>
      </c>
      <c r="B154" s="10">
        <v>2825337.0</v>
      </c>
      <c r="C154" s="16" t="s">
        <v>177</v>
      </c>
      <c r="D154" s="12" t="s">
        <v>34</v>
      </c>
      <c r="E154" s="13" t="s">
        <v>38</v>
      </c>
      <c r="F154" s="14">
        <v>0.014166666666666666</v>
      </c>
      <c r="G154" s="21"/>
    </row>
    <row r="155">
      <c r="A155" s="4" t="s">
        <v>160</v>
      </c>
      <c r="B155" s="10">
        <v>2822314.0</v>
      </c>
      <c r="C155" s="16" t="s">
        <v>178</v>
      </c>
      <c r="D155" s="12" t="s">
        <v>34</v>
      </c>
      <c r="E155" s="13" t="s">
        <v>38</v>
      </c>
      <c r="F155" s="14">
        <v>0.01792824074074074</v>
      </c>
      <c r="G155" s="21"/>
    </row>
    <row r="156">
      <c r="A156" s="4" t="s">
        <v>160</v>
      </c>
      <c r="B156" s="10">
        <v>2367358.0</v>
      </c>
      <c r="C156" s="16" t="s">
        <v>179</v>
      </c>
      <c r="D156" s="12" t="s">
        <v>34</v>
      </c>
      <c r="E156" s="13" t="s">
        <v>38</v>
      </c>
      <c r="F156" s="14">
        <v>0.017326388888888888</v>
      </c>
      <c r="G156" s="21"/>
    </row>
    <row r="157">
      <c r="A157" s="4" t="s">
        <v>160</v>
      </c>
      <c r="B157" s="10">
        <v>2424735.0</v>
      </c>
      <c r="C157" s="16" t="s">
        <v>180</v>
      </c>
      <c r="D157" s="12" t="s">
        <v>34</v>
      </c>
      <c r="E157" s="13" t="s">
        <v>38</v>
      </c>
      <c r="F157" s="14">
        <v>0.03719907407407407</v>
      </c>
      <c r="G157" s="21"/>
    </row>
    <row r="158">
      <c r="A158" s="4" t="s">
        <v>160</v>
      </c>
      <c r="B158" s="10">
        <v>3009443.0</v>
      </c>
      <c r="C158" s="16" t="s">
        <v>181</v>
      </c>
      <c r="D158" s="12" t="s">
        <v>34</v>
      </c>
      <c r="E158" s="13" t="s">
        <v>19</v>
      </c>
      <c r="F158" s="14">
        <v>0.0159375</v>
      </c>
      <c r="G158" s="21"/>
    </row>
    <row r="159">
      <c r="A159" s="4" t="s">
        <v>160</v>
      </c>
      <c r="B159" s="10">
        <v>2825332.0</v>
      </c>
      <c r="C159" s="16" t="s">
        <v>182</v>
      </c>
      <c r="D159" s="12" t="s">
        <v>34</v>
      </c>
      <c r="E159" s="13" t="s">
        <v>19</v>
      </c>
      <c r="F159" s="14">
        <v>0.022650462962962963</v>
      </c>
      <c r="G159" s="21"/>
    </row>
    <row r="160">
      <c r="A160" s="4" t="s">
        <v>160</v>
      </c>
      <c r="B160" s="10">
        <v>802842.0</v>
      </c>
      <c r="C160" s="16" t="s">
        <v>183</v>
      </c>
      <c r="D160" s="12" t="s">
        <v>34</v>
      </c>
      <c r="E160" s="13" t="s">
        <v>19</v>
      </c>
      <c r="F160" s="14">
        <v>0.03754629629629629</v>
      </c>
      <c r="G160" s="21"/>
    </row>
    <row r="161">
      <c r="A161" s="4" t="s">
        <v>160</v>
      </c>
      <c r="B161" s="10">
        <v>5028615.0</v>
      </c>
      <c r="C161" s="16" t="s">
        <v>184</v>
      </c>
      <c r="D161" s="12" t="s">
        <v>34</v>
      </c>
      <c r="E161" s="13" t="s">
        <v>19</v>
      </c>
      <c r="F161" s="14">
        <v>0.039050925925925926</v>
      </c>
      <c r="G161" s="21"/>
    </row>
    <row r="162">
      <c r="A162" s="4" t="s">
        <v>160</v>
      </c>
      <c r="B162" s="10">
        <v>688508.0</v>
      </c>
      <c r="C162" s="16" t="s">
        <v>185</v>
      </c>
      <c r="D162" s="12" t="s">
        <v>34</v>
      </c>
      <c r="E162" s="13" t="s">
        <v>19</v>
      </c>
      <c r="F162" s="14">
        <v>0.032337962962962964</v>
      </c>
      <c r="G162" s="31"/>
    </row>
    <row r="163">
      <c r="A163" s="4" t="s">
        <v>160</v>
      </c>
      <c r="B163" s="10">
        <v>784280.0</v>
      </c>
      <c r="C163" s="16" t="s">
        <v>186</v>
      </c>
      <c r="D163" s="12" t="s">
        <v>34</v>
      </c>
      <c r="E163" s="13" t="s">
        <v>26</v>
      </c>
      <c r="F163" s="14">
        <v>0.04173611111111111</v>
      </c>
      <c r="G163" s="31"/>
    </row>
    <row r="164">
      <c r="A164" s="4" t="s">
        <v>160</v>
      </c>
      <c r="B164" s="10">
        <v>2877028.0</v>
      </c>
      <c r="C164" s="16" t="s">
        <v>187</v>
      </c>
      <c r="D164" s="12" t="s">
        <v>34</v>
      </c>
      <c r="E164" s="13" t="s">
        <v>26</v>
      </c>
      <c r="F164" s="14">
        <v>0.052708333333333336</v>
      </c>
      <c r="G164" s="22"/>
    </row>
    <row r="165">
      <c r="A165" s="4" t="s">
        <v>160</v>
      </c>
      <c r="B165" s="10">
        <v>167028.0</v>
      </c>
      <c r="C165" s="16" t="s">
        <v>188</v>
      </c>
      <c r="D165" s="12" t="s">
        <v>34</v>
      </c>
      <c r="E165" s="13" t="s">
        <v>15</v>
      </c>
      <c r="F165" s="14">
        <v>0.07655092592592593</v>
      </c>
      <c r="G165" s="21"/>
    </row>
    <row r="166">
      <c r="A166" s="4" t="s">
        <v>160</v>
      </c>
      <c r="B166" s="10">
        <v>737756.0</v>
      </c>
      <c r="C166" s="16" t="s">
        <v>189</v>
      </c>
      <c r="D166" s="12" t="s">
        <v>34</v>
      </c>
      <c r="E166" s="13" t="s">
        <v>15</v>
      </c>
      <c r="F166" s="14">
        <v>0.03671296296296296</v>
      </c>
      <c r="G166" s="21"/>
    </row>
    <row r="167">
      <c r="A167" s="4" t="s">
        <v>160</v>
      </c>
      <c r="B167" s="10">
        <v>656781.0</v>
      </c>
      <c r="C167" s="16" t="s">
        <v>190</v>
      </c>
      <c r="D167" s="12" t="s">
        <v>34</v>
      </c>
      <c r="E167" s="13" t="s">
        <v>15</v>
      </c>
      <c r="F167" s="14">
        <v>0.03</v>
      </c>
      <c r="G167" s="21"/>
    </row>
    <row r="168">
      <c r="A168" s="4" t="s">
        <v>160</v>
      </c>
      <c r="B168" s="10">
        <v>175129.0</v>
      </c>
      <c r="C168" s="16" t="s">
        <v>191</v>
      </c>
      <c r="D168" s="12" t="s">
        <v>34</v>
      </c>
      <c r="E168" s="13" t="s">
        <v>15</v>
      </c>
      <c r="F168" s="14">
        <v>0.017361111111111112</v>
      </c>
      <c r="G168" s="21"/>
    </row>
    <row r="169">
      <c r="A169" s="4" t="s">
        <v>160</v>
      </c>
      <c r="B169" s="10">
        <v>659267.0</v>
      </c>
      <c r="C169" s="16" t="s">
        <v>192</v>
      </c>
      <c r="D169" s="12" t="s">
        <v>34</v>
      </c>
      <c r="E169" s="13" t="s">
        <v>15</v>
      </c>
      <c r="F169" s="14">
        <v>0.047962962962962964</v>
      </c>
      <c r="G169" s="21"/>
    </row>
    <row r="170">
      <c r="A170" s="4" t="s">
        <v>160</v>
      </c>
      <c r="B170" s="10">
        <v>656779.0</v>
      </c>
      <c r="C170" s="16" t="s">
        <v>193</v>
      </c>
      <c r="D170" s="12" t="s">
        <v>34</v>
      </c>
      <c r="E170" s="13" t="s">
        <v>15</v>
      </c>
      <c r="F170" s="14">
        <v>0.056157407407407406</v>
      </c>
      <c r="G170" s="21"/>
    </row>
    <row r="171">
      <c r="A171" s="4" t="s">
        <v>160</v>
      </c>
      <c r="B171" s="10">
        <v>681075.0</v>
      </c>
      <c r="C171" s="16" t="s">
        <v>194</v>
      </c>
      <c r="D171" s="12" t="s">
        <v>34</v>
      </c>
      <c r="E171" s="13" t="s">
        <v>15</v>
      </c>
      <c r="F171" s="14">
        <v>0.049166666666666664</v>
      </c>
      <c r="G171" s="21"/>
    </row>
    <row r="172">
      <c r="A172" s="4" t="s">
        <v>160</v>
      </c>
      <c r="B172" s="10">
        <v>656780.0</v>
      </c>
      <c r="C172" s="16" t="s">
        <v>195</v>
      </c>
      <c r="D172" s="12" t="s">
        <v>34</v>
      </c>
      <c r="E172" s="13" t="s">
        <v>15</v>
      </c>
      <c r="F172" s="14">
        <v>0.031041666666666665</v>
      </c>
      <c r="G172" s="21"/>
    </row>
    <row r="173">
      <c r="A173" s="4" t="s">
        <v>160</v>
      </c>
      <c r="B173" s="10">
        <v>2228264.0</v>
      </c>
      <c r="C173" s="16" t="s">
        <v>196</v>
      </c>
      <c r="D173" s="12" t="s">
        <v>34</v>
      </c>
      <c r="E173" s="13" t="s">
        <v>15</v>
      </c>
      <c r="F173" s="14">
        <v>0.04111111111111111</v>
      </c>
      <c r="G173" s="21"/>
    </row>
    <row r="174">
      <c r="A174" s="4" t="s">
        <v>160</v>
      </c>
      <c r="B174" s="10">
        <v>2822159.0</v>
      </c>
      <c r="C174" s="16" t="s">
        <v>197</v>
      </c>
      <c r="D174" s="12" t="s">
        <v>34</v>
      </c>
      <c r="E174" s="13" t="s">
        <v>15</v>
      </c>
      <c r="F174" s="14">
        <v>0.01837962962962963</v>
      </c>
      <c r="G174" s="21"/>
    </row>
    <row r="175">
      <c r="A175" s="4" t="s">
        <v>160</v>
      </c>
      <c r="B175" s="10">
        <v>2820016.0</v>
      </c>
      <c r="C175" s="16" t="s">
        <v>198</v>
      </c>
      <c r="D175" s="12" t="s">
        <v>34</v>
      </c>
      <c r="E175" s="13" t="s">
        <v>15</v>
      </c>
      <c r="F175" s="14">
        <v>0.030428240740740742</v>
      </c>
      <c r="G175" s="21"/>
    </row>
    <row r="176">
      <c r="A176" s="4" t="s">
        <v>160</v>
      </c>
      <c r="B176" s="10">
        <v>2802466.0</v>
      </c>
      <c r="C176" s="16" t="s">
        <v>199</v>
      </c>
      <c r="D176" s="12" t="s">
        <v>34</v>
      </c>
      <c r="E176" s="13" t="s">
        <v>15</v>
      </c>
      <c r="F176" s="14">
        <v>0.016840277777777777</v>
      </c>
      <c r="G176" s="21"/>
    </row>
    <row r="177">
      <c r="A177" s="4" t="s">
        <v>160</v>
      </c>
      <c r="B177" s="10">
        <v>2829006.0</v>
      </c>
      <c r="C177" s="16" t="s">
        <v>200</v>
      </c>
      <c r="D177" s="12" t="s">
        <v>34</v>
      </c>
      <c r="E177" s="13" t="s">
        <v>15</v>
      </c>
      <c r="F177" s="14">
        <v>0.03710648148148148</v>
      </c>
      <c r="G177" s="21"/>
    </row>
    <row r="178">
      <c r="A178" s="4" t="s">
        <v>160</v>
      </c>
      <c r="B178" s="10">
        <v>2892005.0</v>
      </c>
      <c r="C178" s="16" t="s">
        <v>201</v>
      </c>
      <c r="D178" s="12" t="s">
        <v>34</v>
      </c>
      <c r="E178" s="13" t="s">
        <v>15</v>
      </c>
      <c r="F178" s="14">
        <v>0.027870370370370372</v>
      </c>
      <c r="G178" s="21"/>
    </row>
    <row r="179">
      <c r="A179" s="4" t="s">
        <v>160</v>
      </c>
      <c r="B179" s="10">
        <v>2833087.0</v>
      </c>
      <c r="C179" s="16" t="s">
        <v>202</v>
      </c>
      <c r="D179" s="12" t="s">
        <v>34</v>
      </c>
      <c r="E179" s="13" t="s">
        <v>15</v>
      </c>
      <c r="F179" s="14">
        <v>0.04761574074074074</v>
      </c>
      <c r="G179" s="21"/>
    </row>
    <row r="180">
      <c r="A180" s="4" t="s">
        <v>160</v>
      </c>
      <c r="B180" s="10">
        <v>2878235.0</v>
      </c>
      <c r="C180" s="16" t="s">
        <v>203</v>
      </c>
      <c r="D180" s="12" t="s">
        <v>31</v>
      </c>
      <c r="E180" s="13" t="s">
        <v>109</v>
      </c>
      <c r="F180" s="14">
        <v>0.025868055555555554</v>
      </c>
      <c r="G180" s="21"/>
    </row>
    <row r="181">
      <c r="A181" s="4" t="s">
        <v>160</v>
      </c>
      <c r="B181" s="10">
        <v>2974167.0</v>
      </c>
      <c r="C181" s="16" t="s">
        <v>204</v>
      </c>
      <c r="D181" s="12" t="s">
        <v>26</v>
      </c>
      <c r="E181" s="13" t="s">
        <v>38</v>
      </c>
      <c r="F181" s="14">
        <v>0.035381944444444445</v>
      </c>
      <c r="G181" s="31"/>
    </row>
    <row r="182">
      <c r="A182" s="4" t="s">
        <v>160</v>
      </c>
      <c r="B182" s="10">
        <v>2243047.0</v>
      </c>
      <c r="C182" s="16" t="s">
        <v>205</v>
      </c>
      <c r="D182" s="12" t="s">
        <v>26</v>
      </c>
      <c r="E182" s="13" t="s">
        <v>38</v>
      </c>
      <c r="F182" s="14">
        <v>0.0059375</v>
      </c>
      <c r="G182" s="31"/>
    </row>
    <row r="183">
      <c r="A183" s="4" t="s">
        <v>160</v>
      </c>
      <c r="B183" s="10">
        <v>2813307.0</v>
      </c>
      <c r="C183" s="16" t="s">
        <v>206</v>
      </c>
      <c r="D183" s="12" t="s">
        <v>26</v>
      </c>
      <c r="E183" s="13" t="s">
        <v>38</v>
      </c>
      <c r="F183" s="14">
        <v>0.015775462962962963</v>
      </c>
      <c r="G183" s="21"/>
    </row>
    <row r="184">
      <c r="A184" s="4" t="s">
        <v>160</v>
      </c>
      <c r="B184" s="10">
        <v>2823255.0</v>
      </c>
      <c r="C184" s="16" t="s">
        <v>207</v>
      </c>
      <c r="D184" s="12" t="s">
        <v>26</v>
      </c>
      <c r="E184" s="13" t="s">
        <v>38</v>
      </c>
      <c r="F184" s="14">
        <v>0.016446759259259258</v>
      </c>
      <c r="G184" s="21"/>
    </row>
    <row r="185">
      <c r="A185" s="4" t="s">
        <v>160</v>
      </c>
      <c r="B185" s="10">
        <v>2823195.0</v>
      </c>
      <c r="C185" s="16" t="s">
        <v>208</v>
      </c>
      <c r="D185" s="12" t="s">
        <v>26</v>
      </c>
      <c r="E185" s="13" t="s">
        <v>38</v>
      </c>
      <c r="F185" s="14">
        <v>0.05918981481481481</v>
      </c>
      <c r="G185" s="21"/>
    </row>
    <row r="186">
      <c r="A186" s="4" t="s">
        <v>160</v>
      </c>
      <c r="B186" s="10">
        <v>2825494.0</v>
      </c>
      <c r="C186" s="16" t="s">
        <v>209</v>
      </c>
      <c r="D186" s="12" t="s">
        <v>26</v>
      </c>
      <c r="E186" s="13" t="s">
        <v>38</v>
      </c>
      <c r="F186" s="14">
        <v>0.02619212962962963</v>
      </c>
      <c r="G186" s="21"/>
    </row>
    <row r="187">
      <c r="A187" s="4" t="s">
        <v>160</v>
      </c>
      <c r="B187" s="10">
        <v>2846053.0</v>
      </c>
      <c r="C187" s="16" t="s">
        <v>210</v>
      </c>
      <c r="D187" s="12" t="s">
        <v>26</v>
      </c>
      <c r="E187" s="13" t="s">
        <v>38</v>
      </c>
      <c r="F187" s="14">
        <v>0.02045138888888889</v>
      </c>
      <c r="G187" s="21"/>
    </row>
    <row r="188">
      <c r="A188" s="4" t="s">
        <v>160</v>
      </c>
      <c r="B188" s="10">
        <v>2834039.0</v>
      </c>
      <c r="C188" s="16" t="s">
        <v>211</v>
      </c>
      <c r="D188" s="12" t="s">
        <v>26</v>
      </c>
      <c r="E188" s="13" t="s">
        <v>38</v>
      </c>
      <c r="F188" s="14">
        <v>0.030601851851851852</v>
      </c>
      <c r="G188" s="21"/>
    </row>
    <row r="189">
      <c r="A189" s="4" t="s">
        <v>160</v>
      </c>
      <c r="B189" s="10">
        <v>2884171.0</v>
      </c>
      <c r="C189" s="16" t="s">
        <v>212</v>
      </c>
      <c r="D189" s="12" t="s">
        <v>26</v>
      </c>
      <c r="E189" s="13" t="s">
        <v>38</v>
      </c>
      <c r="F189" s="14">
        <v>0.020370370370370372</v>
      </c>
      <c r="G189" s="21"/>
    </row>
    <row r="190">
      <c r="A190" s="4" t="s">
        <v>160</v>
      </c>
      <c r="B190" s="10">
        <v>2884172.0</v>
      </c>
      <c r="C190" s="16" t="s">
        <v>213</v>
      </c>
      <c r="D190" s="12" t="s">
        <v>26</v>
      </c>
      <c r="E190" s="13" t="s">
        <v>38</v>
      </c>
      <c r="F190" s="14">
        <v>0.016805555555555556</v>
      </c>
      <c r="G190" s="21"/>
    </row>
    <row r="191">
      <c r="A191" s="4" t="s">
        <v>160</v>
      </c>
      <c r="B191" s="10">
        <v>2888118.0</v>
      </c>
      <c r="C191" s="16" t="s">
        <v>214</v>
      </c>
      <c r="D191" s="12" t="s">
        <v>26</v>
      </c>
      <c r="E191" s="13" t="s">
        <v>38</v>
      </c>
      <c r="F191" s="14">
        <v>0.023240740740740742</v>
      </c>
      <c r="G191" s="21"/>
    </row>
    <row r="192">
      <c r="A192" s="4" t="s">
        <v>160</v>
      </c>
      <c r="B192" s="10">
        <v>2426609.0</v>
      </c>
      <c r="C192" s="16" t="s">
        <v>215</v>
      </c>
      <c r="D192" s="12" t="s">
        <v>26</v>
      </c>
      <c r="E192" s="13" t="s">
        <v>38</v>
      </c>
      <c r="F192" s="14">
        <v>0.009652777777777777</v>
      </c>
      <c r="G192" s="21"/>
    </row>
    <row r="193">
      <c r="A193" s="4" t="s">
        <v>160</v>
      </c>
      <c r="B193" s="10">
        <v>647657.0</v>
      </c>
      <c r="C193" s="16" t="s">
        <v>216</v>
      </c>
      <c r="D193" s="12" t="s">
        <v>26</v>
      </c>
      <c r="E193" s="13" t="s">
        <v>26</v>
      </c>
      <c r="F193" s="14">
        <v>0.027175925925925926</v>
      </c>
      <c r="G193" s="21"/>
    </row>
    <row r="194">
      <c r="A194" s="4" t="s">
        <v>160</v>
      </c>
      <c r="B194" s="10">
        <v>758616.0</v>
      </c>
      <c r="C194" s="16" t="s">
        <v>217</v>
      </c>
      <c r="D194" s="12" t="s">
        <v>26</v>
      </c>
      <c r="E194" s="13" t="s">
        <v>26</v>
      </c>
      <c r="F194" s="14">
        <v>0.015173611111111112</v>
      </c>
      <c r="G194" s="21"/>
    </row>
    <row r="195">
      <c r="A195" s="4" t="s">
        <v>160</v>
      </c>
      <c r="B195" s="10">
        <v>2244039.0</v>
      </c>
      <c r="C195" s="16" t="s">
        <v>218</v>
      </c>
      <c r="D195" s="12" t="s">
        <v>26</v>
      </c>
      <c r="E195" s="13" t="s">
        <v>26</v>
      </c>
      <c r="F195" s="14">
        <v>0.0059722222222222225</v>
      </c>
      <c r="G195" s="21"/>
    </row>
    <row r="196">
      <c r="A196" s="4" t="s">
        <v>160</v>
      </c>
      <c r="B196" s="10">
        <v>2837262.0</v>
      </c>
      <c r="C196" s="16" t="s">
        <v>219</v>
      </c>
      <c r="D196" s="12" t="s">
        <v>26</v>
      </c>
      <c r="E196" s="13" t="s">
        <v>26</v>
      </c>
      <c r="F196" s="14">
        <v>0.01675925925925926</v>
      </c>
      <c r="G196" s="21"/>
    </row>
    <row r="197">
      <c r="A197" s="4" t="s">
        <v>160</v>
      </c>
      <c r="B197" s="10">
        <v>2835113.0</v>
      </c>
      <c r="C197" s="16" t="s">
        <v>220</v>
      </c>
      <c r="D197" s="12" t="s">
        <v>26</v>
      </c>
      <c r="E197" s="13" t="s">
        <v>26</v>
      </c>
      <c r="F197" s="14">
        <v>0.022627314814814815</v>
      </c>
      <c r="G197" s="21"/>
    </row>
    <row r="198">
      <c r="A198" s="4" t="s">
        <v>160</v>
      </c>
      <c r="B198" s="10">
        <v>2884194.0</v>
      </c>
      <c r="C198" s="16" t="s">
        <v>221</v>
      </c>
      <c r="D198" s="12" t="s">
        <v>26</v>
      </c>
      <c r="E198" s="13" t="s">
        <v>26</v>
      </c>
      <c r="F198" s="14">
        <v>0.06069444444444445</v>
      </c>
      <c r="G198" s="21"/>
    </row>
    <row r="199">
      <c r="A199" s="4" t="s">
        <v>160</v>
      </c>
      <c r="B199" s="10">
        <v>2884198.0</v>
      </c>
      <c r="C199" s="16" t="s">
        <v>222</v>
      </c>
      <c r="D199" s="12" t="s">
        <v>26</v>
      </c>
      <c r="E199" s="13" t="s">
        <v>26</v>
      </c>
      <c r="F199" s="14">
        <v>0.02273148148148148</v>
      </c>
      <c r="G199" s="21"/>
    </row>
    <row r="200">
      <c r="A200" s="4" t="s">
        <v>160</v>
      </c>
      <c r="B200" s="10">
        <v>718627.0</v>
      </c>
      <c r="C200" s="16" t="s">
        <v>223</v>
      </c>
      <c r="D200" s="12" t="s">
        <v>26</v>
      </c>
      <c r="E200" s="13" t="s">
        <v>15</v>
      </c>
      <c r="F200" s="14">
        <v>0.051597222222222225</v>
      </c>
      <c r="G200" s="21"/>
    </row>
    <row r="201">
      <c r="A201" s="4" t="s">
        <v>160</v>
      </c>
      <c r="B201" s="10">
        <v>2825124.0</v>
      </c>
      <c r="C201" s="16" t="s">
        <v>224</v>
      </c>
      <c r="D201" s="12" t="s">
        <v>26</v>
      </c>
      <c r="E201" s="13" t="s">
        <v>15</v>
      </c>
      <c r="F201" s="14">
        <v>0.039699074074074074</v>
      </c>
      <c r="G201" s="21"/>
    </row>
    <row r="202">
      <c r="A202" s="4" t="s">
        <v>160</v>
      </c>
      <c r="B202" s="10">
        <v>2972406.0</v>
      </c>
      <c r="C202" s="16" t="s">
        <v>225</v>
      </c>
      <c r="D202" s="12" t="s">
        <v>26</v>
      </c>
      <c r="E202" s="13" t="s">
        <v>15</v>
      </c>
      <c r="F202" s="14">
        <v>0.02917824074074074</v>
      </c>
      <c r="G202" s="21"/>
    </row>
    <row r="203">
      <c r="A203" s="4" t="s">
        <v>160</v>
      </c>
      <c r="B203" s="10">
        <v>2974330.0</v>
      </c>
      <c r="C203" s="16" t="s">
        <v>226</v>
      </c>
      <c r="D203" s="12" t="s">
        <v>26</v>
      </c>
      <c r="E203" s="13" t="s">
        <v>15</v>
      </c>
      <c r="F203" s="14">
        <v>0.028136574074074074</v>
      </c>
      <c r="G203" s="21"/>
    </row>
    <row r="204">
      <c r="A204" s="4" t="s">
        <v>160</v>
      </c>
      <c r="B204" s="10">
        <v>2874261.0</v>
      </c>
      <c r="C204" s="16" t="s">
        <v>227</v>
      </c>
      <c r="D204" s="12" t="s">
        <v>26</v>
      </c>
      <c r="E204" s="13" t="s">
        <v>15</v>
      </c>
      <c r="F204" s="14">
        <v>0.020694444444444446</v>
      </c>
      <c r="G204" s="21"/>
    </row>
    <row r="205">
      <c r="A205" s="4" t="s">
        <v>160</v>
      </c>
      <c r="B205" s="10">
        <v>2876319.0</v>
      </c>
      <c r="C205" s="16" t="s">
        <v>228</v>
      </c>
      <c r="D205" s="12" t="s">
        <v>26</v>
      </c>
      <c r="E205" s="13" t="s">
        <v>15</v>
      </c>
      <c r="F205" s="14">
        <v>0.025613425925925925</v>
      </c>
      <c r="G205" s="21"/>
    </row>
    <row r="206">
      <c r="A206" s="4" t="s">
        <v>229</v>
      </c>
      <c r="B206" s="5" t="s">
        <v>8</v>
      </c>
      <c r="C206" s="6" t="s">
        <v>9</v>
      </c>
      <c r="D206" s="7" t="s">
        <v>3</v>
      </c>
      <c r="E206" s="7" t="s">
        <v>10</v>
      </c>
      <c r="F206" s="8" t="s">
        <v>11</v>
      </c>
      <c r="G206" s="9" t="s">
        <v>12</v>
      </c>
    </row>
    <row r="207">
      <c r="A207" s="4" t="s">
        <v>229</v>
      </c>
      <c r="B207" s="10">
        <v>645013.0</v>
      </c>
      <c r="C207" s="16" t="s">
        <v>230</v>
      </c>
      <c r="D207" s="12" t="s">
        <v>14</v>
      </c>
      <c r="E207" s="13" t="s">
        <v>15</v>
      </c>
      <c r="F207" s="14">
        <v>0.04212962962962963</v>
      </c>
      <c r="G207" s="15" t="s">
        <v>231</v>
      </c>
    </row>
    <row r="208">
      <c r="A208" s="4" t="s">
        <v>229</v>
      </c>
      <c r="B208" s="10">
        <v>2825259.0</v>
      </c>
      <c r="C208" s="16" t="s">
        <v>232</v>
      </c>
      <c r="D208" s="12" t="s">
        <v>14</v>
      </c>
      <c r="E208" s="13" t="s">
        <v>15</v>
      </c>
      <c r="F208" s="14">
        <v>0.01840277777777778</v>
      </c>
      <c r="G208" s="15" t="s">
        <v>233</v>
      </c>
    </row>
    <row r="209">
      <c r="A209" s="23" t="s">
        <v>229</v>
      </c>
      <c r="B209" s="24">
        <v>479849.0</v>
      </c>
      <c r="C209" s="25" t="s">
        <v>164</v>
      </c>
      <c r="D209" s="26" t="s">
        <v>14</v>
      </c>
      <c r="E209" s="27" t="s">
        <v>26</v>
      </c>
      <c r="F209" s="28">
        <v>0.05971064814814815</v>
      </c>
      <c r="G209" s="15" t="s">
        <v>229</v>
      </c>
    </row>
    <row r="210">
      <c r="A210" s="4" t="s">
        <v>229</v>
      </c>
      <c r="B210" s="10">
        <v>700792.0</v>
      </c>
      <c r="C210" s="16" t="s">
        <v>234</v>
      </c>
      <c r="D210" s="12" t="s">
        <v>18</v>
      </c>
      <c r="E210" s="13" t="s">
        <v>15</v>
      </c>
      <c r="F210" s="14">
        <v>0.025138888888888888</v>
      </c>
      <c r="G210" s="17" t="s">
        <v>235</v>
      </c>
    </row>
    <row r="211">
      <c r="A211" s="4" t="s">
        <v>229</v>
      </c>
      <c r="B211" s="10">
        <v>5028617.0</v>
      </c>
      <c r="C211" s="16" t="s">
        <v>236</v>
      </c>
      <c r="D211" s="12" t="s">
        <v>18</v>
      </c>
      <c r="E211" s="13" t="s">
        <v>15</v>
      </c>
      <c r="F211" s="14">
        <v>0.024733796296296295</v>
      </c>
      <c r="G211" s="15" t="s">
        <v>165</v>
      </c>
    </row>
    <row r="212">
      <c r="A212" s="4" t="s">
        <v>229</v>
      </c>
      <c r="B212" s="10">
        <v>2421832.0</v>
      </c>
      <c r="C212" s="16" t="s">
        <v>237</v>
      </c>
      <c r="D212" s="12" t="s">
        <v>18</v>
      </c>
      <c r="E212" s="13" t="s">
        <v>15</v>
      </c>
      <c r="F212" s="14">
        <v>0.03429398148148148</v>
      </c>
      <c r="G212" s="15" t="s">
        <v>171</v>
      </c>
    </row>
    <row r="213">
      <c r="A213" s="4" t="s">
        <v>229</v>
      </c>
      <c r="B213" s="10">
        <v>2242035.0</v>
      </c>
      <c r="C213" s="16" t="s">
        <v>238</v>
      </c>
      <c r="D213" s="12" t="s">
        <v>18</v>
      </c>
      <c r="E213" s="13" t="s">
        <v>26</v>
      </c>
      <c r="F213" s="14">
        <v>0.009224537037037036</v>
      </c>
      <c r="G213" s="15"/>
    </row>
    <row r="214">
      <c r="A214" s="4" t="s">
        <v>229</v>
      </c>
      <c r="B214" s="10">
        <v>2315934.0</v>
      </c>
      <c r="C214" s="16" t="s">
        <v>239</v>
      </c>
      <c r="D214" s="12" t="s">
        <v>34</v>
      </c>
      <c r="E214" s="13" t="s">
        <v>19</v>
      </c>
      <c r="F214" s="14">
        <v>0.019131944444444444</v>
      </c>
      <c r="G214" s="21"/>
    </row>
    <row r="215">
      <c r="A215" s="4" t="s">
        <v>229</v>
      </c>
      <c r="B215" s="10">
        <v>784280.0</v>
      </c>
      <c r="C215" s="16" t="s">
        <v>186</v>
      </c>
      <c r="D215" s="12" t="s">
        <v>34</v>
      </c>
      <c r="E215" s="13" t="s">
        <v>26</v>
      </c>
      <c r="F215" s="14">
        <v>0.04173611111111111</v>
      </c>
      <c r="G215" s="21"/>
    </row>
    <row r="216">
      <c r="A216" s="4" t="s">
        <v>229</v>
      </c>
      <c r="B216" s="10">
        <v>2241057.0</v>
      </c>
      <c r="C216" s="16" t="s">
        <v>240</v>
      </c>
      <c r="D216" s="12" t="s">
        <v>34</v>
      </c>
      <c r="E216" s="13" t="s">
        <v>26</v>
      </c>
      <c r="F216" s="14">
        <v>0.010046296296296296</v>
      </c>
      <c r="G216" s="21"/>
    </row>
    <row r="217">
      <c r="A217" s="4" t="s">
        <v>229</v>
      </c>
      <c r="B217" s="10">
        <v>2243045.0</v>
      </c>
      <c r="C217" s="16" t="s">
        <v>241</v>
      </c>
      <c r="D217" s="12" t="s">
        <v>34</v>
      </c>
      <c r="E217" s="13" t="s">
        <v>26</v>
      </c>
      <c r="F217" s="14">
        <v>0.006006944444444444</v>
      </c>
      <c r="G217" s="17"/>
    </row>
    <row r="218">
      <c r="A218" s="4" t="s">
        <v>229</v>
      </c>
      <c r="B218" s="10">
        <v>2807856.0</v>
      </c>
      <c r="C218" s="16" t="s">
        <v>122</v>
      </c>
      <c r="D218" s="12" t="s">
        <v>34</v>
      </c>
      <c r="E218" s="13" t="s">
        <v>26</v>
      </c>
      <c r="F218" s="14">
        <v>0.02775462962962963</v>
      </c>
      <c r="G218" s="15"/>
    </row>
    <row r="219">
      <c r="A219" s="4" t="s">
        <v>229</v>
      </c>
      <c r="B219" s="10">
        <v>784278.0</v>
      </c>
      <c r="C219" s="16" t="s">
        <v>242</v>
      </c>
      <c r="D219" s="12" t="s">
        <v>34</v>
      </c>
      <c r="E219" s="13" t="s">
        <v>26</v>
      </c>
      <c r="F219" s="14">
        <v>0.034444444444444444</v>
      </c>
      <c r="G219" s="15"/>
    </row>
    <row r="220">
      <c r="A220" s="4" t="s">
        <v>229</v>
      </c>
      <c r="B220" s="10">
        <v>656781.0</v>
      </c>
      <c r="C220" s="16" t="s">
        <v>190</v>
      </c>
      <c r="D220" s="12" t="s">
        <v>34</v>
      </c>
      <c r="E220" s="13" t="s">
        <v>15</v>
      </c>
      <c r="F220" s="14">
        <v>0.03</v>
      </c>
      <c r="G220" s="21"/>
    </row>
    <row r="221">
      <c r="A221" s="4" t="s">
        <v>229</v>
      </c>
      <c r="B221" s="10">
        <v>647652.0</v>
      </c>
      <c r="C221" s="16" t="s">
        <v>243</v>
      </c>
      <c r="D221" s="12" t="s">
        <v>34</v>
      </c>
      <c r="E221" s="13" t="s">
        <v>15</v>
      </c>
      <c r="F221" s="14">
        <v>0.032164351851851854</v>
      </c>
      <c r="G221" s="21"/>
    </row>
    <row r="222">
      <c r="A222" s="4" t="s">
        <v>229</v>
      </c>
      <c r="B222" s="10">
        <v>711794.0</v>
      </c>
      <c r="C222" s="16" t="s">
        <v>244</v>
      </c>
      <c r="D222" s="12" t="s">
        <v>34</v>
      </c>
      <c r="E222" s="13" t="s">
        <v>15</v>
      </c>
      <c r="F222" s="14">
        <v>0.030208333333333334</v>
      </c>
      <c r="G222" s="21"/>
    </row>
    <row r="223">
      <c r="A223" s="4" t="s">
        <v>229</v>
      </c>
      <c r="B223" s="10">
        <v>784283.0</v>
      </c>
      <c r="C223" s="16" t="s">
        <v>245</v>
      </c>
      <c r="D223" s="12" t="s">
        <v>34</v>
      </c>
      <c r="E223" s="13" t="s">
        <v>15</v>
      </c>
      <c r="F223" s="14">
        <v>0.028645833333333332</v>
      </c>
      <c r="G223" s="21"/>
    </row>
    <row r="224">
      <c r="A224" s="4" t="s">
        <v>229</v>
      </c>
      <c r="B224" s="10">
        <v>2802466.0</v>
      </c>
      <c r="C224" s="16" t="s">
        <v>199</v>
      </c>
      <c r="D224" s="12" t="s">
        <v>34</v>
      </c>
      <c r="E224" s="13" t="s">
        <v>15</v>
      </c>
      <c r="F224" s="14">
        <v>0.016840277777777777</v>
      </c>
      <c r="G224" s="21"/>
    </row>
    <row r="225">
      <c r="A225" s="4" t="s">
        <v>229</v>
      </c>
      <c r="B225" s="10">
        <v>2883003.0</v>
      </c>
      <c r="C225" s="16" t="s">
        <v>246</v>
      </c>
      <c r="D225" s="12" t="s">
        <v>34</v>
      </c>
      <c r="E225" s="13" t="s">
        <v>15</v>
      </c>
      <c r="F225" s="14">
        <v>0.02861111111111111</v>
      </c>
      <c r="G225" s="21"/>
    </row>
    <row r="226">
      <c r="A226" s="4" t="s">
        <v>229</v>
      </c>
      <c r="B226" s="10">
        <v>2878235.0</v>
      </c>
      <c r="C226" s="16" t="s">
        <v>203</v>
      </c>
      <c r="D226" s="12" t="s">
        <v>31</v>
      </c>
      <c r="E226" s="13" t="s">
        <v>109</v>
      </c>
      <c r="F226" s="14">
        <v>0.025868055555555554</v>
      </c>
      <c r="G226" s="31"/>
    </row>
    <row r="227">
      <c r="A227" s="4" t="s">
        <v>229</v>
      </c>
      <c r="B227" s="10">
        <v>2848322.0</v>
      </c>
      <c r="C227" s="16" t="s">
        <v>247</v>
      </c>
      <c r="D227" s="12" t="s">
        <v>31</v>
      </c>
      <c r="E227" s="13" t="s">
        <v>26</v>
      </c>
      <c r="F227" s="14">
        <v>0.04079861111111111</v>
      </c>
      <c r="G227" s="21"/>
    </row>
    <row r="228">
      <c r="A228" s="4" t="s">
        <v>229</v>
      </c>
      <c r="B228" s="10">
        <v>2886117.0</v>
      </c>
      <c r="C228" s="16" t="s">
        <v>248</v>
      </c>
      <c r="D228" s="12" t="s">
        <v>31</v>
      </c>
      <c r="E228" s="13" t="s">
        <v>26</v>
      </c>
      <c r="F228" s="14">
        <v>0.030578703703703705</v>
      </c>
      <c r="G228" s="21"/>
    </row>
    <row r="229">
      <c r="A229" s="4" t="s">
        <v>229</v>
      </c>
      <c r="B229" s="10">
        <v>2890004.0</v>
      </c>
      <c r="C229" s="16" t="s">
        <v>30</v>
      </c>
      <c r="D229" s="12" t="s">
        <v>31</v>
      </c>
      <c r="E229" s="13" t="s">
        <v>26</v>
      </c>
      <c r="F229" s="14">
        <v>0.03364583333333333</v>
      </c>
      <c r="G229" s="31"/>
    </row>
    <row r="230">
      <c r="A230" s="4" t="s">
        <v>229</v>
      </c>
      <c r="B230" s="10">
        <v>2423851.0</v>
      </c>
      <c r="C230" s="16" t="s">
        <v>249</v>
      </c>
      <c r="D230" s="12" t="s">
        <v>31</v>
      </c>
      <c r="E230" s="13" t="s">
        <v>15</v>
      </c>
      <c r="F230" s="14">
        <v>0.14596064814814816</v>
      </c>
      <c r="G230" s="31"/>
    </row>
    <row r="231">
      <c r="A231" s="4" t="s">
        <v>229</v>
      </c>
      <c r="B231" s="10">
        <v>5040389.0</v>
      </c>
      <c r="C231" s="16" t="s">
        <v>250</v>
      </c>
      <c r="D231" s="12" t="s">
        <v>26</v>
      </c>
      <c r="E231" s="13" t="s">
        <v>109</v>
      </c>
      <c r="F231" s="14">
        <v>0.03446759259259259</v>
      </c>
      <c r="G231" s="31"/>
    </row>
    <row r="232">
      <c r="A232" s="4" t="s">
        <v>229</v>
      </c>
      <c r="B232" s="10">
        <v>2877032.0</v>
      </c>
      <c r="C232" s="16" t="s">
        <v>251</v>
      </c>
      <c r="D232" s="12" t="s">
        <v>26</v>
      </c>
      <c r="E232" s="13" t="s">
        <v>38</v>
      </c>
      <c r="F232" s="14">
        <v>0.01204861111111111</v>
      </c>
      <c r="G232" s="31"/>
    </row>
    <row r="233">
      <c r="A233" s="4" t="s">
        <v>229</v>
      </c>
      <c r="B233" s="10">
        <v>2870083.0</v>
      </c>
      <c r="C233" s="16" t="s">
        <v>252</v>
      </c>
      <c r="D233" s="12" t="s">
        <v>26</v>
      </c>
      <c r="E233" s="13" t="s">
        <v>38</v>
      </c>
      <c r="F233" s="14">
        <v>0.024328703703703703</v>
      </c>
      <c r="G233" s="31"/>
    </row>
    <row r="234">
      <c r="A234" s="4" t="s">
        <v>229</v>
      </c>
      <c r="B234" s="10">
        <v>758614.0</v>
      </c>
      <c r="C234" s="16" t="s">
        <v>253</v>
      </c>
      <c r="D234" s="12" t="s">
        <v>26</v>
      </c>
      <c r="E234" s="13" t="s">
        <v>38</v>
      </c>
      <c r="F234" s="14">
        <v>0.04092592592592593</v>
      </c>
      <c r="G234" s="31"/>
    </row>
    <row r="235">
      <c r="A235" s="4" t="s">
        <v>229</v>
      </c>
      <c r="B235" s="10">
        <v>534584.0</v>
      </c>
      <c r="C235" s="16" t="s">
        <v>254</v>
      </c>
      <c r="D235" s="12" t="s">
        <v>26</v>
      </c>
      <c r="E235" s="13" t="s">
        <v>38</v>
      </c>
      <c r="F235" s="14">
        <v>0.026087962962962962</v>
      </c>
      <c r="G235" s="21"/>
    </row>
    <row r="236">
      <c r="A236" s="4" t="s">
        <v>229</v>
      </c>
      <c r="B236" s="10">
        <v>622054.0</v>
      </c>
      <c r="C236" s="16" t="s">
        <v>255</v>
      </c>
      <c r="D236" s="12" t="s">
        <v>26</v>
      </c>
      <c r="E236" s="13" t="s">
        <v>38</v>
      </c>
      <c r="F236" s="14">
        <v>0.04170138888888889</v>
      </c>
      <c r="G236" s="21"/>
    </row>
    <row r="237">
      <c r="A237" s="4" t="s">
        <v>229</v>
      </c>
      <c r="B237" s="10">
        <v>570966.0</v>
      </c>
      <c r="C237" s="16" t="s">
        <v>256</v>
      </c>
      <c r="D237" s="12" t="s">
        <v>26</v>
      </c>
      <c r="E237" s="13" t="s">
        <v>38</v>
      </c>
      <c r="F237" s="14">
        <v>0.04170138888888889</v>
      </c>
      <c r="G237" s="21"/>
    </row>
    <row r="238">
      <c r="A238" s="4" t="s">
        <v>229</v>
      </c>
      <c r="B238" s="10">
        <v>580627.0</v>
      </c>
      <c r="C238" s="16" t="s">
        <v>257</v>
      </c>
      <c r="D238" s="12" t="s">
        <v>26</v>
      </c>
      <c r="E238" s="13" t="s">
        <v>38</v>
      </c>
      <c r="F238" s="14">
        <v>0.025706018518518517</v>
      </c>
      <c r="G238" s="21"/>
    </row>
    <row r="239">
      <c r="A239" s="4" t="s">
        <v>229</v>
      </c>
      <c r="B239" s="10">
        <v>624206.0</v>
      </c>
      <c r="C239" s="16" t="s">
        <v>258</v>
      </c>
      <c r="D239" s="12" t="s">
        <v>26</v>
      </c>
      <c r="E239" s="13" t="s">
        <v>38</v>
      </c>
      <c r="F239" s="14">
        <v>0.0447337962962963</v>
      </c>
      <c r="G239" s="21"/>
    </row>
    <row r="240">
      <c r="A240" s="4" t="s">
        <v>229</v>
      </c>
      <c r="B240" s="10">
        <v>2808545.0</v>
      </c>
      <c r="C240" s="16" t="s">
        <v>259</v>
      </c>
      <c r="D240" s="12" t="s">
        <v>26</v>
      </c>
      <c r="E240" s="13" t="s">
        <v>38</v>
      </c>
      <c r="F240" s="14">
        <v>0.013726851851851851</v>
      </c>
      <c r="G240" s="21"/>
    </row>
    <row r="241">
      <c r="A241" s="4" t="s">
        <v>229</v>
      </c>
      <c r="B241" s="10">
        <v>2813144.0</v>
      </c>
      <c r="C241" s="16" t="s">
        <v>260</v>
      </c>
      <c r="D241" s="12" t="s">
        <v>26</v>
      </c>
      <c r="E241" s="13" t="s">
        <v>38</v>
      </c>
      <c r="F241" s="14">
        <v>0.012881944444444444</v>
      </c>
      <c r="G241" s="21"/>
    </row>
    <row r="242">
      <c r="A242" s="4" t="s">
        <v>229</v>
      </c>
      <c r="B242" s="10">
        <v>2822315.0</v>
      </c>
      <c r="C242" s="16" t="s">
        <v>261</v>
      </c>
      <c r="D242" s="12" t="s">
        <v>26</v>
      </c>
      <c r="E242" s="13" t="s">
        <v>38</v>
      </c>
      <c r="F242" s="14">
        <v>0.01982638888888889</v>
      </c>
      <c r="G242" s="21"/>
    </row>
    <row r="243">
      <c r="A243" s="4" t="s">
        <v>229</v>
      </c>
      <c r="B243" s="10">
        <v>2825494.0</v>
      </c>
      <c r="C243" s="16" t="s">
        <v>209</v>
      </c>
      <c r="D243" s="12" t="s">
        <v>26</v>
      </c>
      <c r="E243" s="13" t="s">
        <v>38</v>
      </c>
      <c r="F243" s="14">
        <v>0.02619212962962963</v>
      </c>
      <c r="G243" s="21"/>
    </row>
    <row r="244">
      <c r="A244" s="4" t="s">
        <v>229</v>
      </c>
      <c r="B244" s="10">
        <v>2823195.0</v>
      </c>
      <c r="C244" s="16" t="s">
        <v>208</v>
      </c>
      <c r="D244" s="12" t="s">
        <v>26</v>
      </c>
      <c r="E244" s="13" t="s">
        <v>38</v>
      </c>
      <c r="F244" s="14">
        <v>0.05918981481481481</v>
      </c>
      <c r="G244" s="21"/>
    </row>
    <row r="245">
      <c r="A245" s="4" t="s">
        <v>229</v>
      </c>
      <c r="B245" s="10">
        <v>2848272.0</v>
      </c>
      <c r="C245" s="16" t="s">
        <v>262</v>
      </c>
      <c r="D245" s="12" t="s">
        <v>26</v>
      </c>
      <c r="E245" s="13" t="s">
        <v>38</v>
      </c>
      <c r="F245" s="14">
        <v>0.016435185185185185</v>
      </c>
      <c r="G245" s="21"/>
    </row>
    <row r="246">
      <c r="A246" s="4" t="s">
        <v>229</v>
      </c>
      <c r="B246" s="10">
        <v>2848245.0</v>
      </c>
      <c r="C246" s="16" t="s">
        <v>263</v>
      </c>
      <c r="D246" s="12" t="s">
        <v>26</v>
      </c>
      <c r="E246" s="13" t="s">
        <v>38</v>
      </c>
      <c r="F246" s="14">
        <v>0.022372685185185186</v>
      </c>
      <c r="G246" s="21"/>
    </row>
    <row r="247">
      <c r="A247" s="4" t="s">
        <v>229</v>
      </c>
      <c r="B247" s="10">
        <v>2848243.0</v>
      </c>
      <c r="C247" s="16" t="s">
        <v>264</v>
      </c>
      <c r="D247" s="12" t="s">
        <v>26</v>
      </c>
      <c r="E247" s="13" t="s">
        <v>38</v>
      </c>
      <c r="F247" s="14">
        <v>0.04662037037037037</v>
      </c>
      <c r="G247" s="21"/>
    </row>
    <row r="248">
      <c r="A248" s="4" t="s">
        <v>229</v>
      </c>
      <c r="B248" s="10">
        <v>2849194.0</v>
      </c>
      <c r="C248" s="16" t="s">
        <v>265</v>
      </c>
      <c r="D248" s="12" t="s">
        <v>26</v>
      </c>
      <c r="E248" s="13" t="s">
        <v>38</v>
      </c>
      <c r="F248" s="14">
        <v>0.01361111111111111</v>
      </c>
      <c r="G248" s="21"/>
    </row>
    <row r="249">
      <c r="A249" s="4" t="s">
        <v>229</v>
      </c>
      <c r="B249" s="10">
        <v>2887217.0</v>
      </c>
      <c r="C249" s="16" t="s">
        <v>266</v>
      </c>
      <c r="D249" s="12" t="s">
        <v>26</v>
      </c>
      <c r="E249" s="13" t="s">
        <v>38</v>
      </c>
      <c r="F249" s="14">
        <v>0.020185185185185184</v>
      </c>
      <c r="G249" s="21"/>
    </row>
    <row r="250">
      <c r="A250" s="4" t="s">
        <v>229</v>
      </c>
      <c r="B250" s="10">
        <v>3152728.0</v>
      </c>
      <c r="C250" s="16" t="s">
        <v>267</v>
      </c>
      <c r="D250" s="12" t="s">
        <v>26</v>
      </c>
      <c r="E250" s="13" t="s">
        <v>38</v>
      </c>
      <c r="F250" s="14">
        <v>0.02539351851851852</v>
      </c>
      <c r="G250" s="21"/>
    </row>
    <row r="251">
      <c r="A251" s="4" t="s">
        <v>229</v>
      </c>
      <c r="B251" s="10">
        <v>2427504.0</v>
      </c>
      <c r="C251" s="16" t="s">
        <v>268</v>
      </c>
      <c r="D251" s="12" t="s">
        <v>26</v>
      </c>
      <c r="E251" s="13" t="s">
        <v>38</v>
      </c>
      <c r="F251" s="14">
        <v>0.023391203703703702</v>
      </c>
      <c r="G251" s="21"/>
    </row>
    <row r="252">
      <c r="A252" s="4" t="s">
        <v>229</v>
      </c>
      <c r="B252" s="10">
        <v>3006558.0</v>
      </c>
      <c r="C252" s="16" t="s">
        <v>269</v>
      </c>
      <c r="D252" s="12" t="s">
        <v>26</v>
      </c>
      <c r="E252" s="13" t="s">
        <v>38</v>
      </c>
      <c r="F252" s="14">
        <v>0.030844907407407408</v>
      </c>
      <c r="G252" s="21"/>
    </row>
    <row r="253">
      <c r="A253" s="4" t="s">
        <v>229</v>
      </c>
      <c r="B253" s="10">
        <v>2818078.0</v>
      </c>
      <c r="C253" s="16" t="s">
        <v>270</v>
      </c>
      <c r="D253" s="12" t="s">
        <v>26</v>
      </c>
      <c r="E253" s="13" t="s">
        <v>19</v>
      </c>
      <c r="F253" s="14">
        <v>0.018564814814814815</v>
      </c>
      <c r="G253" s="21"/>
    </row>
    <row r="254">
      <c r="A254" s="4" t="s">
        <v>229</v>
      </c>
      <c r="B254" s="10">
        <v>2823321.0</v>
      </c>
      <c r="C254" s="16" t="s">
        <v>271</v>
      </c>
      <c r="D254" s="12" t="s">
        <v>26</v>
      </c>
      <c r="E254" s="13" t="s">
        <v>19</v>
      </c>
      <c r="F254" s="14">
        <v>0.026203703703703705</v>
      </c>
      <c r="G254" s="21"/>
    </row>
    <row r="255">
      <c r="A255" s="4" t="s">
        <v>229</v>
      </c>
      <c r="B255" s="10">
        <v>709833.0</v>
      </c>
      <c r="C255" s="16" t="s">
        <v>272</v>
      </c>
      <c r="D255" s="12" t="s">
        <v>26</v>
      </c>
      <c r="E255" s="13" t="s">
        <v>19</v>
      </c>
      <c r="F255" s="14">
        <v>0.021956018518518517</v>
      </c>
      <c r="G255" s="21"/>
    </row>
    <row r="256">
      <c r="A256" s="4" t="s">
        <v>229</v>
      </c>
      <c r="B256" s="10">
        <v>700791.0</v>
      </c>
      <c r="C256" s="16" t="s">
        <v>273</v>
      </c>
      <c r="D256" s="12" t="s">
        <v>26</v>
      </c>
      <c r="E256" s="13" t="s">
        <v>19</v>
      </c>
      <c r="F256" s="14">
        <v>0.040219907407407406</v>
      </c>
      <c r="G256" s="21"/>
    </row>
    <row r="257">
      <c r="A257" s="4" t="s">
        <v>229</v>
      </c>
      <c r="B257" s="10">
        <v>622053.0</v>
      </c>
      <c r="C257" s="16" t="s">
        <v>274</v>
      </c>
      <c r="D257" s="12" t="s">
        <v>26</v>
      </c>
      <c r="E257" s="13" t="s">
        <v>19</v>
      </c>
      <c r="F257" s="14">
        <v>0.03346064814814815</v>
      </c>
      <c r="G257" s="21"/>
    </row>
    <row r="258">
      <c r="A258" s="4" t="s">
        <v>229</v>
      </c>
      <c r="B258" s="10">
        <v>653220.0</v>
      </c>
      <c r="C258" s="16" t="s">
        <v>275</v>
      </c>
      <c r="D258" s="12" t="s">
        <v>26</v>
      </c>
      <c r="E258" s="13" t="s">
        <v>19</v>
      </c>
      <c r="F258" s="14">
        <v>0.020162037037037037</v>
      </c>
      <c r="G258" s="21"/>
    </row>
    <row r="259">
      <c r="A259" s="4" t="s">
        <v>229</v>
      </c>
      <c r="B259" s="10">
        <v>2886252.0</v>
      </c>
      <c r="C259" s="16" t="s">
        <v>276</v>
      </c>
      <c r="D259" s="12" t="s">
        <v>26</v>
      </c>
      <c r="E259" s="13" t="s">
        <v>19</v>
      </c>
      <c r="F259" s="14">
        <v>0.03113425925925926</v>
      </c>
      <c r="G259" s="21"/>
    </row>
    <row r="260">
      <c r="A260" s="4" t="s">
        <v>229</v>
      </c>
      <c r="B260" s="10">
        <v>2425359.0</v>
      </c>
      <c r="C260" s="16" t="s">
        <v>277</v>
      </c>
      <c r="D260" s="12" t="s">
        <v>26</v>
      </c>
      <c r="E260" s="13" t="s">
        <v>26</v>
      </c>
      <c r="F260" s="14">
        <v>0.02966435185185185</v>
      </c>
      <c r="G260" s="21"/>
    </row>
    <row r="261">
      <c r="A261" s="4" t="s">
        <v>229</v>
      </c>
      <c r="B261" s="10">
        <v>176760.0</v>
      </c>
      <c r="C261" s="16" t="s">
        <v>278</v>
      </c>
      <c r="D261" s="12" t="s">
        <v>26</v>
      </c>
      <c r="E261" s="13" t="s">
        <v>26</v>
      </c>
      <c r="F261" s="14">
        <v>0.04486111111111111</v>
      </c>
      <c r="G261" s="21"/>
    </row>
    <row r="262">
      <c r="A262" s="4" t="s">
        <v>229</v>
      </c>
      <c r="B262" s="10">
        <v>466176.0</v>
      </c>
      <c r="C262" s="16" t="s">
        <v>279</v>
      </c>
      <c r="D262" s="12" t="s">
        <v>26</v>
      </c>
      <c r="E262" s="13" t="s">
        <v>26</v>
      </c>
      <c r="F262" s="14">
        <v>0.019305555555555555</v>
      </c>
      <c r="G262" s="21"/>
    </row>
    <row r="263">
      <c r="A263" s="4" t="s">
        <v>229</v>
      </c>
      <c r="B263" s="10">
        <v>2825258.0</v>
      </c>
      <c r="C263" s="16" t="s">
        <v>280</v>
      </c>
      <c r="D263" s="12" t="s">
        <v>26</v>
      </c>
      <c r="E263" s="13" t="s">
        <v>26</v>
      </c>
      <c r="F263" s="14">
        <v>0.017962962962962962</v>
      </c>
      <c r="G263" s="21"/>
    </row>
    <row r="264">
      <c r="A264" s="4" t="s">
        <v>229</v>
      </c>
      <c r="B264" s="10">
        <v>2313156.0</v>
      </c>
      <c r="C264" s="16" t="s">
        <v>281</v>
      </c>
      <c r="D264" s="12" t="s">
        <v>26</v>
      </c>
      <c r="E264" s="13" t="s">
        <v>26</v>
      </c>
      <c r="F264" s="14">
        <v>0.03699074074074074</v>
      </c>
      <c r="G264" s="21"/>
    </row>
    <row r="265">
      <c r="A265" s="4" t="s">
        <v>229</v>
      </c>
      <c r="B265" s="10">
        <v>2801187.0</v>
      </c>
      <c r="C265" s="16" t="s">
        <v>89</v>
      </c>
      <c r="D265" s="12" t="s">
        <v>26</v>
      </c>
      <c r="E265" s="13" t="s">
        <v>26</v>
      </c>
      <c r="F265" s="14">
        <v>0.03744212962962963</v>
      </c>
      <c r="G265" s="21"/>
    </row>
    <row r="266">
      <c r="A266" s="4" t="s">
        <v>229</v>
      </c>
      <c r="B266" s="10">
        <v>5025098.0</v>
      </c>
      <c r="C266" s="16" t="s">
        <v>282</v>
      </c>
      <c r="D266" s="12" t="s">
        <v>26</v>
      </c>
      <c r="E266" s="13" t="s">
        <v>26</v>
      </c>
      <c r="F266" s="14">
        <v>0.036944444444444446</v>
      </c>
      <c r="G266" s="21"/>
    </row>
    <row r="267">
      <c r="A267" s="4" t="s">
        <v>229</v>
      </c>
      <c r="B267" s="10">
        <v>2849185.0</v>
      </c>
      <c r="C267" s="16" t="s">
        <v>283</v>
      </c>
      <c r="D267" s="12" t="s">
        <v>26</v>
      </c>
      <c r="E267" s="13" t="s">
        <v>26</v>
      </c>
      <c r="F267" s="14">
        <v>0.01565972222222222</v>
      </c>
      <c r="G267" s="21"/>
    </row>
    <row r="268">
      <c r="A268" s="4" t="s">
        <v>229</v>
      </c>
      <c r="B268" s="10">
        <v>2835113.0</v>
      </c>
      <c r="C268" s="16" t="s">
        <v>220</v>
      </c>
      <c r="D268" s="12" t="s">
        <v>26</v>
      </c>
      <c r="E268" s="13" t="s">
        <v>26</v>
      </c>
      <c r="F268" s="14">
        <v>0.022627314814814815</v>
      </c>
      <c r="G268" s="21"/>
    </row>
    <row r="269">
      <c r="A269" s="4" t="s">
        <v>229</v>
      </c>
      <c r="B269" s="10">
        <v>2300009.0</v>
      </c>
      <c r="C269" s="16" t="s">
        <v>96</v>
      </c>
      <c r="D269" s="12" t="s">
        <v>26</v>
      </c>
      <c r="E269" s="13" t="s">
        <v>26</v>
      </c>
      <c r="F269" s="14">
        <v>0.034305555555555554</v>
      </c>
      <c r="G269" s="21"/>
    </row>
    <row r="270">
      <c r="A270" s="4" t="s">
        <v>229</v>
      </c>
      <c r="B270" s="10">
        <v>2894042.0</v>
      </c>
      <c r="C270" s="16" t="s">
        <v>284</v>
      </c>
      <c r="D270" s="12" t="s">
        <v>26</v>
      </c>
      <c r="E270" s="13" t="s">
        <v>26</v>
      </c>
      <c r="F270" s="14">
        <v>0.021527777777777778</v>
      </c>
      <c r="G270" s="21"/>
    </row>
    <row r="271">
      <c r="A271" s="4" t="s">
        <v>229</v>
      </c>
      <c r="B271" s="10">
        <v>2825601.0</v>
      </c>
      <c r="C271" s="16" t="s">
        <v>285</v>
      </c>
      <c r="D271" s="12" t="s">
        <v>26</v>
      </c>
      <c r="E271" s="13" t="s">
        <v>15</v>
      </c>
      <c r="F271" s="14">
        <v>0.04068287037037037</v>
      </c>
      <c r="G271" s="21"/>
    </row>
    <row r="272">
      <c r="A272" s="4" t="s">
        <v>229</v>
      </c>
      <c r="B272" s="10">
        <v>699245.0</v>
      </c>
      <c r="C272" s="16" t="s">
        <v>286</v>
      </c>
      <c r="D272" s="12" t="s">
        <v>26</v>
      </c>
      <c r="E272" s="13" t="s">
        <v>15</v>
      </c>
      <c r="F272" s="14">
        <v>0.06519675925925926</v>
      </c>
      <c r="G272" s="21"/>
    </row>
    <row r="273">
      <c r="A273" s="4" t="s">
        <v>229</v>
      </c>
      <c r="B273" s="10">
        <v>2813182.0</v>
      </c>
      <c r="C273" s="16" t="s">
        <v>287</v>
      </c>
      <c r="D273" s="12" t="s">
        <v>26</v>
      </c>
      <c r="E273" s="13" t="s">
        <v>15</v>
      </c>
      <c r="F273" s="14">
        <v>0.018692129629629628</v>
      </c>
      <c r="G273" s="21"/>
    </row>
    <row r="274">
      <c r="A274" s="4" t="s">
        <v>229</v>
      </c>
      <c r="B274" s="10">
        <v>2822684.0</v>
      </c>
      <c r="C274" s="16" t="s">
        <v>288</v>
      </c>
      <c r="D274" s="12" t="s">
        <v>26</v>
      </c>
      <c r="E274" s="13" t="s">
        <v>26</v>
      </c>
      <c r="F274" s="14">
        <v>0.03328703703703704</v>
      </c>
      <c r="G274" s="21"/>
    </row>
    <row r="275">
      <c r="A275" s="4" t="s">
        <v>229</v>
      </c>
      <c r="B275" s="10">
        <v>2895101.0</v>
      </c>
      <c r="C275" s="16" t="s">
        <v>289</v>
      </c>
      <c r="D275" s="12" t="s">
        <v>26</v>
      </c>
      <c r="E275" s="13" t="s">
        <v>15</v>
      </c>
      <c r="F275" s="14">
        <v>0.037766203703703705</v>
      </c>
      <c r="G275" s="21"/>
    </row>
    <row r="276">
      <c r="A276" s="4" t="s">
        <v>290</v>
      </c>
      <c r="B276" s="5" t="s">
        <v>8</v>
      </c>
      <c r="C276" s="6" t="s">
        <v>9</v>
      </c>
      <c r="D276" s="7" t="s">
        <v>3</v>
      </c>
      <c r="E276" s="7" t="s">
        <v>10</v>
      </c>
      <c r="F276" s="8" t="s">
        <v>11</v>
      </c>
      <c r="G276" s="9" t="s">
        <v>12</v>
      </c>
    </row>
    <row r="277">
      <c r="A277" s="4" t="s">
        <v>290</v>
      </c>
      <c r="B277" s="10">
        <v>797722.0</v>
      </c>
      <c r="C277" s="16" t="s">
        <v>166</v>
      </c>
      <c r="D277" s="12" t="s">
        <v>14</v>
      </c>
      <c r="E277" s="13" t="s">
        <v>15</v>
      </c>
      <c r="F277" s="14">
        <v>0.030983796296296297</v>
      </c>
      <c r="G277" s="15" t="s">
        <v>291</v>
      </c>
    </row>
    <row r="278">
      <c r="A278" s="4" t="s">
        <v>290</v>
      </c>
      <c r="B278" s="10">
        <v>693111.0</v>
      </c>
      <c r="C278" s="16" t="s">
        <v>161</v>
      </c>
      <c r="D278" s="12" t="s">
        <v>14</v>
      </c>
      <c r="E278" s="13" t="s">
        <v>109</v>
      </c>
      <c r="F278" s="14">
        <v>0.04199074074074074</v>
      </c>
      <c r="G278" s="15" t="s">
        <v>292</v>
      </c>
    </row>
    <row r="279">
      <c r="A279" s="4" t="s">
        <v>290</v>
      </c>
      <c r="B279" s="10">
        <v>693107.0</v>
      </c>
      <c r="C279" s="16" t="s">
        <v>293</v>
      </c>
      <c r="D279" s="12" t="s">
        <v>14</v>
      </c>
      <c r="E279" s="13" t="s">
        <v>109</v>
      </c>
      <c r="F279" s="14">
        <v>0.033414351851851855</v>
      </c>
      <c r="G279" s="15" t="s">
        <v>294</v>
      </c>
    </row>
    <row r="280">
      <c r="A280" s="4" t="s">
        <v>290</v>
      </c>
      <c r="B280" s="10">
        <v>2975163.0</v>
      </c>
      <c r="C280" s="16" t="s">
        <v>295</v>
      </c>
      <c r="D280" s="12" t="s">
        <v>18</v>
      </c>
      <c r="E280" s="13" t="s">
        <v>109</v>
      </c>
      <c r="F280" s="14">
        <v>0.020300925925925927</v>
      </c>
      <c r="G280" s="15" t="s">
        <v>296</v>
      </c>
    </row>
    <row r="281">
      <c r="A281" s="4" t="s">
        <v>290</v>
      </c>
      <c r="B281" s="10">
        <v>5028627.0</v>
      </c>
      <c r="C281" s="16" t="s">
        <v>297</v>
      </c>
      <c r="D281" s="12" t="s">
        <v>18</v>
      </c>
      <c r="E281" s="13" t="s">
        <v>109</v>
      </c>
      <c r="F281" s="14">
        <v>0.061064814814814815</v>
      </c>
      <c r="G281" s="15" t="s">
        <v>298</v>
      </c>
    </row>
    <row r="282">
      <c r="A282" s="4" t="s">
        <v>290</v>
      </c>
      <c r="B282" s="10">
        <v>2819025.0</v>
      </c>
      <c r="C282" s="16" t="s">
        <v>21</v>
      </c>
      <c r="D282" s="12" t="s">
        <v>18</v>
      </c>
      <c r="E282" s="13" t="s">
        <v>19</v>
      </c>
      <c r="F282" s="14">
        <v>0.024826388888888887</v>
      </c>
      <c r="G282" s="15" t="s">
        <v>299</v>
      </c>
    </row>
    <row r="283">
      <c r="A283" s="4" t="s">
        <v>290</v>
      </c>
      <c r="B283" s="10">
        <v>370569.0</v>
      </c>
      <c r="C283" s="16" t="s">
        <v>300</v>
      </c>
      <c r="D283" s="12" t="s">
        <v>18</v>
      </c>
      <c r="E283" s="13" t="s">
        <v>26</v>
      </c>
      <c r="F283" s="14">
        <v>0.052569444444444446</v>
      </c>
      <c r="G283" s="15" t="s">
        <v>165</v>
      </c>
    </row>
    <row r="284">
      <c r="A284" s="4" t="s">
        <v>290</v>
      </c>
      <c r="B284" s="10">
        <v>376381.0</v>
      </c>
      <c r="C284" s="16" t="s">
        <v>301</v>
      </c>
      <c r="D284" s="12" t="s">
        <v>18</v>
      </c>
      <c r="E284" s="13" t="s">
        <v>26</v>
      </c>
      <c r="F284" s="14">
        <v>0.032824074074074075</v>
      </c>
      <c r="G284" s="15" t="s">
        <v>302</v>
      </c>
    </row>
    <row r="285">
      <c r="A285" s="4" t="s">
        <v>290</v>
      </c>
      <c r="B285" s="10">
        <v>2811020.0</v>
      </c>
      <c r="C285" s="16" t="s">
        <v>303</v>
      </c>
      <c r="D285" s="12" t="s">
        <v>18</v>
      </c>
      <c r="E285" s="13" t="s">
        <v>15</v>
      </c>
      <c r="F285" s="14">
        <v>0.022094907407407407</v>
      </c>
      <c r="G285" s="15" t="s">
        <v>304</v>
      </c>
    </row>
    <row r="286">
      <c r="A286" s="4" t="s">
        <v>290</v>
      </c>
      <c r="B286" s="10">
        <v>2252216.0</v>
      </c>
      <c r="C286" s="16" t="s">
        <v>305</v>
      </c>
      <c r="D286" s="12" t="s">
        <v>18</v>
      </c>
      <c r="E286" s="13" t="s">
        <v>15</v>
      </c>
      <c r="F286" s="14">
        <v>0.03420138888888889</v>
      </c>
      <c r="G286" s="15" t="s">
        <v>171</v>
      </c>
    </row>
    <row r="287">
      <c r="A287" s="4" t="s">
        <v>290</v>
      </c>
      <c r="B287" s="10">
        <v>5028617.0</v>
      </c>
      <c r="C287" s="16" t="s">
        <v>236</v>
      </c>
      <c r="D287" s="12" t="s">
        <v>18</v>
      </c>
      <c r="E287" s="13" t="s">
        <v>15</v>
      </c>
      <c r="F287" s="14">
        <v>0.024733796296296295</v>
      </c>
      <c r="G287" s="15" t="s">
        <v>116</v>
      </c>
    </row>
    <row r="288">
      <c r="A288" s="4" t="s">
        <v>290</v>
      </c>
      <c r="B288" s="10">
        <v>743145.0</v>
      </c>
      <c r="C288" s="16" t="s">
        <v>306</v>
      </c>
      <c r="D288" s="12" t="s">
        <v>18</v>
      </c>
      <c r="E288" s="13" t="s">
        <v>15</v>
      </c>
      <c r="F288" s="14">
        <v>0.028483796296296295</v>
      </c>
      <c r="G288" s="18" t="s">
        <v>307</v>
      </c>
    </row>
    <row r="289">
      <c r="A289" s="4" t="s">
        <v>290</v>
      </c>
      <c r="B289" s="10">
        <v>791342.0</v>
      </c>
      <c r="C289" s="16" t="s">
        <v>308</v>
      </c>
      <c r="D289" s="12" t="s">
        <v>18</v>
      </c>
      <c r="E289" s="13" t="s">
        <v>15</v>
      </c>
      <c r="F289" s="14">
        <v>0.047060185185185184</v>
      </c>
      <c r="G289" s="15" t="s">
        <v>309</v>
      </c>
    </row>
    <row r="290">
      <c r="A290" s="4" t="s">
        <v>290</v>
      </c>
      <c r="B290" s="10">
        <v>5022326.0</v>
      </c>
      <c r="C290" s="16" t="s">
        <v>310</v>
      </c>
      <c r="D290" s="12" t="s">
        <v>18</v>
      </c>
      <c r="E290" s="13" t="s">
        <v>15</v>
      </c>
      <c r="F290" s="14">
        <v>0.031747685185185184</v>
      </c>
      <c r="G290" s="21"/>
    </row>
    <row r="291">
      <c r="A291" s="4" t="s">
        <v>290</v>
      </c>
      <c r="B291" s="10">
        <v>696326.0</v>
      </c>
      <c r="C291" s="16" t="s">
        <v>311</v>
      </c>
      <c r="D291" s="12" t="s">
        <v>18</v>
      </c>
      <c r="E291" s="13" t="s">
        <v>15</v>
      </c>
      <c r="F291" s="14">
        <v>0.05327546296296296</v>
      </c>
      <c r="G291" s="22"/>
    </row>
    <row r="292">
      <c r="A292" s="4" t="s">
        <v>290</v>
      </c>
      <c r="B292" s="10">
        <v>2875304.0</v>
      </c>
      <c r="C292" s="16" t="s">
        <v>312</v>
      </c>
      <c r="D292" s="12" t="s">
        <v>18</v>
      </c>
      <c r="E292" s="13" t="s">
        <v>15</v>
      </c>
      <c r="F292" s="14">
        <v>0.020902777777777777</v>
      </c>
      <c r="G292" s="22"/>
    </row>
    <row r="293">
      <c r="A293" s="4" t="s">
        <v>290</v>
      </c>
      <c r="B293" s="10">
        <v>2881075.0</v>
      </c>
      <c r="C293" s="16" t="s">
        <v>313</v>
      </c>
      <c r="D293" s="12" t="s">
        <v>34</v>
      </c>
      <c r="E293" s="13" t="s">
        <v>109</v>
      </c>
      <c r="F293" s="14">
        <v>0.032060185185185185</v>
      </c>
      <c r="G293" s="22"/>
    </row>
    <row r="294">
      <c r="A294" s="4" t="s">
        <v>290</v>
      </c>
      <c r="B294" s="10">
        <v>2428601.0</v>
      </c>
      <c r="C294" s="16" t="s">
        <v>314</v>
      </c>
      <c r="D294" s="12" t="s">
        <v>34</v>
      </c>
      <c r="E294" s="13" t="s">
        <v>38</v>
      </c>
      <c r="F294" s="14">
        <v>0.056400462962962965</v>
      </c>
      <c r="G294" s="22"/>
    </row>
    <row r="295">
      <c r="A295" s="4" t="s">
        <v>290</v>
      </c>
      <c r="B295" s="10">
        <v>2824175.0</v>
      </c>
      <c r="C295" s="16" t="s">
        <v>315</v>
      </c>
      <c r="D295" s="12" t="s">
        <v>34</v>
      </c>
      <c r="E295" s="13" t="s">
        <v>38</v>
      </c>
      <c r="F295" s="14">
        <v>0.010648148148148148</v>
      </c>
      <c r="G295" s="22"/>
    </row>
    <row r="296">
      <c r="A296" s="4" t="s">
        <v>290</v>
      </c>
      <c r="B296" s="10">
        <v>2448225.0</v>
      </c>
      <c r="C296" s="16" t="s">
        <v>316</v>
      </c>
      <c r="D296" s="12" t="s">
        <v>34</v>
      </c>
      <c r="E296" s="13" t="s">
        <v>38</v>
      </c>
      <c r="F296" s="14">
        <v>0.029895833333333333</v>
      </c>
      <c r="G296" s="21"/>
    </row>
    <row r="297">
      <c r="A297" s="4" t="s">
        <v>290</v>
      </c>
      <c r="B297" s="10">
        <v>2315934.0</v>
      </c>
      <c r="C297" s="16" t="s">
        <v>239</v>
      </c>
      <c r="D297" s="12" t="s">
        <v>34</v>
      </c>
      <c r="E297" s="13" t="s">
        <v>19</v>
      </c>
      <c r="F297" s="14">
        <v>0.019131944444444444</v>
      </c>
      <c r="G297" s="21"/>
    </row>
    <row r="298">
      <c r="A298" s="4" t="s">
        <v>290</v>
      </c>
      <c r="B298" s="10">
        <v>2809355.0</v>
      </c>
      <c r="C298" s="16" t="s">
        <v>317</v>
      </c>
      <c r="D298" s="12" t="s">
        <v>34</v>
      </c>
      <c r="E298" s="13" t="s">
        <v>26</v>
      </c>
      <c r="F298" s="14">
        <v>0.02738425925925926</v>
      </c>
      <c r="G298" s="22"/>
    </row>
    <row r="299">
      <c r="A299" s="4" t="s">
        <v>290</v>
      </c>
      <c r="B299" s="10">
        <v>2841066.0</v>
      </c>
      <c r="C299" s="16" t="s">
        <v>318</v>
      </c>
      <c r="D299" s="12" t="s">
        <v>34</v>
      </c>
      <c r="E299" s="13" t="s">
        <v>26</v>
      </c>
      <c r="F299" s="14">
        <v>0.021770833333333333</v>
      </c>
      <c r="G299" s="21"/>
    </row>
    <row r="300">
      <c r="A300" s="4" t="s">
        <v>290</v>
      </c>
      <c r="B300" s="10">
        <v>656781.0</v>
      </c>
      <c r="C300" s="16" t="s">
        <v>190</v>
      </c>
      <c r="D300" s="12" t="s">
        <v>34</v>
      </c>
      <c r="E300" s="13" t="s">
        <v>15</v>
      </c>
      <c r="F300" s="14">
        <v>0.03</v>
      </c>
      <c r="G300" s="21"/>
    </row>
    <row r="301">
      <c r="A301" s="4" t="s">
        <v>290</v>
      </c>
      <c r="B301" s="10">
        <v>174923.0</v>
      </c>
      <c r="C301" s="16" t="s">
        <v>319</v>
      </c>
      <c r="D301" s="12" t="s">
        <v>34</v>
      </c>
      <c r="E301" s="13" t="s">
        <v>15</v>
      </c>
      <c r="F301" s="14">
        <v>0.03179398148148148</v>
      </c>
      <c r="G301" s="21"/>
    </row>
    <row r="302">
      <c r="A302" s="4" t="s">
        <v>290</v>
      </c>
      <c r="B302" s="10">
        <v>647652.0</v>
      </c>
      <c r="C302" s="16" t="s">
        <v>243</v>
      </c>
      <c r="D302" s="12" t="s">
        <v>34</v>
      </c>
      <c r="E302" s="13" t="s">
        <v>15</v>
      </c>
      <c r="F302" s="14">
        <v>0.032164351851851854</v>
      </c>
      <c r="G302" s="21"/>
    </row>
    <row r="303">
      <c r="A303" s="4" t="s">
        <v>290</v>
      </c>
      <c r="B303" s="10">
        <v>778180.0</v>
      </c>
      <c r="C303" s="16" t="s">
        <v>320</v>
      </c>
      <c r="D303" s="12" t="s">
        <v>34</v>
      </c>
      <c r="E303" s="13" t="s">
        <v>15</v>
      </c>
      <c r="F303" s="14">
        <v>0.023703703703703703</v>
      </c>
      <c r="G303" s="21"/>
    </row>
    <row r="304">
      <c r="A304" s="4" t="s">
        <v>290</v>
      </c>
      <c r="B304" s="10">
        <v>711794.0</v>
      </c>
      <c r="C304" s="16" t="s">
        <v>244</v>
      </c>
      <c r="D304" s="12" t="s">
        <v>34</v>
      </c>
      <c r="E304" s="13" t="s">
        <v>15</v>
      </c>
      <c r="F304" s="14">
        <v>0.030208333333333334</v>
      </c>
      <c r="G304" s="21"/>
    </row>
    <row r="305">
      <c r="A305" s="4" t="s">
        <v>290</v>
      </c>
      <c r="B305" s="10">
        <v>797723.0</v>
      </c>
      <c r="C305" s="16" t="s">
        <v>321</v>
      </c>
      <c r="D305" s="12" t="s">
        <v>34</v>
      </c>
      <c r="E305" s="13" t="s">
        <v>15</v>
      </c>
      <c r="F305" s="14">
        <v>0.02423611111111111</v>
      </c>
      <c r="G305" s="21"/>
    </row>
    <row r="306">
      <c r="A306" s="4" t="s">
        <v>290</v>
      </c>
      <c r="B306" s="10">
        <v>2895001.0</v>
      </c>
      <c r="C306" s="16" t="s">
        <v>322</v>
      </c>
      <c r="D306" s="12" t="s">
        <v>34</v>
      </c>
      <c r="E306" s="13" t="s">
        <v>15</v>
      </c>
      <c r="F306" s="14">
        <v>0.04873842592592593</v>
      </c>
      <c r="G306" s="21"/>
    </row>
    <row r="307">
      <c r="A307" s="4" t="s">
        <v>290</v>
      </c>
      <c r="B307" s="10">
        <v>2893004.0</v>
      </c>
      <c r="C307" s="16" t="s">
        <v>323</v>
      </c>
      <c r="D307" s="12" t="s">
        <v>34</v>
      </c>
      <c r="E307" s="13" t="s">
        <v>15</v>
      </c>
      <c r="F307" s="14">
        <v>0.03711805555555556</v>
      </c>
      <c r="G307" s="21"/>
    </row>
    <row r="308">
      <c r="A308" s="4" t="s">
        <v>290</v>
      </c>
      <c r="B308" s="10">
        <v>2888051.0</v>
      </c>
      <c r="C308" s="16" t="s">
        <v>324</v>
      </c>
      <c r="D308" s="12" t="s">
        <v>31</v>
      </c>
      <c r="E308" s="13" t="s">
        <v>38</v>
      </c>
      <c r="F308" s="14">
        <v>0.03530092592592592</v>
      </c>
      <c r="G308" s="21"/>
    </row>
    <row r="309">
      <c r="A309" s="4" t="s">
        <v>290</v>
      </c>
      <c r="B309" s="10">
        <v>2848322.0</v>
      </c>
      <c r="C309" s="16" t="s">
        <v>247</v>
      </c>
      <c r="D309" s="12" t="s">
        <v>31</v>
      </c>
      <c r="E309" s="13" t="s">
        <v>26</v>
      </c>
      <c r="F309" s="14">
        <v>0.04079861111111111</v>
      </c>
      <c r="G309" s="21"/>
    </row>
    <row r="310">
      <c r="A310" s="4" t="s">
        <v>290</v>
      </c>
      <c r="B310" s="10">
        <v>2875147.0</v>
      </c>
      <c r="C310" s="16" t="s">
        <v>325</v>
      </c>
      <c r="D310" s="12" t="s">
        <v>31</v>
      </c>
      <c r="E310" s="13" t="s">
        <v>26</v>
      </c>
      <c r="F310" s="14">
        <v>0.03498842592592592</v>
      </c>
      <c r="G310" s="21"/>
    </row>
    <row r="311">
      <c r="A311" s="4" t="s">
        <v>290</v>
      </c>
      <c r="B311" s="10">
        <v>534584.0</v>
      </c>
      <c r="C311" s="16" t="s">
        <v>254</v>
      </c>
      <c r="D311" s="12" t="s">
        <v>26</v>
      </c>
      <c r="E311" s="13" t="s">
        <v>38</v>
      </c>
      <c r="F311" s="14">
        <v>0.026087962962962962</v>
      </c>
      <c r="G311" s="21"/>
    </row>
    <row r="312">
      <c r="A312" s="4" t="s">
        <v>290</v>
      </c>
      <c r="B312" s="10">
        <v>700790.0</v>
      </c>
      <c r="C312" s="16" t="s">
        <v>326</v>
      </c>
      <c r="D312" s="12" t="s">
        <v>26</v>
      </c>
      <c r="E312" s="13" t="s">
        <v>38</v>
      </c>
      <c r="F312" s="14">
        <v>0.054050925925925926</v>
      </c>
      <c r="G312" s="21"/>
    </row>
    <row r="313">
      <c r="A313" s="4" t="s">
        <v>290</v>
      </c>
      <c r="B313" s="10">
        <v>580627.0</v>
      </c>
      <c r="C313" s="16" t="s">
        <v>257</v>
      </c>
      <c r="D313" s="12" t="s">
        <v>26</v>
      </c>
      <c r="E313" s="13" t="s">
        <v>38</v>
      </c>
      <c r="F313" s="14">
        <v>0.025706018518518517</v>
      </c>
      <c r="G313" s="21"/>
    </row>
    <row r="314">
      <c r="A314" s="4" t="s">
        <v>290</v>
      </c>
      <c r="B314" s="10">
        <v>653219.0</v>
      </c>
      <c r="C314" s="16" t="s">
        <v>327</v>
      </c>
      <c r="D314" s="12" t="s">
        <v>26</v>
      </c>
      <c r="E314" s="13" t="s">
        <v>38</v>
      </c>
      <c r="F314" s="14">
        <v>0.01949074074074074</v>
      </c>
      <c r="G314" s="21"/>
    </row>
    <row r="315">
      <c r="A315" s="4" t="s">
        <v>290</v>
      </c>
      <c r="B315" s="10">
        <v>553701.0</v>
      </c>
      <c r="C315" s="16" t="s">
        <v>328</v>
      </c>
      <c r="D315" s="12" t="s">
        <v>26</v>
      </c>
      <c r="E315" s="13" t="s">
        <v>38</v>
      </c>
      <c r="F315" s="14">
        <v>0.0884837962962963</v>
      </c>
      <c r="G315" s="21"/>
    </row>
    <row r="316">
      <c r="A316" s="4" t="s">
        <v>290</v>
      </c>
      <c r="B316" s="10">
        <v>578056.0</v>
      </c>
      <c r="C316" s="16" t="s">
        <v>329</v>
      </c>
      <c r="D316" s="12" t="s">
        <v>26</v>
      </c>
      <c r="E316" s="13" t="s">
        <v>38</v>
      </c>
      <c r="F316" s="14">
        <v>0.021238425925925924</v>
      </c>
      <c r="G316" s="21"/>
    </row>
    <row r="317">
      <c r="A317" s="4" t="s">
        <v>290</v>
      </c>
      <c r="B317" s="10">
        <v>2805907.0</v>
      </c>
      <c r="C317" s="16" t="s">
        <v>330</v>
      </c>
      <c r="D317" s="12" t="s">
        <v>26</v>
      </c>
      <c r="E317" s="13" t="s">
        <v>38</v>
      </c>
      <c r="F317" s="14">
        <v>0.00949074074074074</v>
      </c>
      <c r="G317" s="21"/>
    </row>
    <row r="318">
      <c r="A318" s="4" t="s">
        <v>290</v>
      </c>
      <c r="B318" s="10">
        <v>2807858.0</v>
      </c>
      <c r="C318" s="16" t="s">
        <v>331</v>
      </c>
      <c r="D318" s="12" t="s">
        <v>26</v>
      </c>
      <c r="E318" s="13" t="s">
        <v>38</v>
      </c>
      <c r="F318" s="14">
        <v>0.011689814814814814</v>
      </c>
      <c r="G318" s="21"/>
    </row>
    <row r="319">
      <c r="A319" s="4" t="s">
        <v>290</v>
      </c>
      <c r="B319" s="10">
        <v>2807859.0</v>
      </c>
      <c r="C319" s="16" t="s">
        <v>332</v>
      </c>
      <c r="D319" s="12" t="s">
        <v>26</v>
      </c>
      <c r="E319" s="13" t="s">
        <v>38</v>
      </c>
      <c r="F319" s="14">
        <v>0.01778935185185185</v>
      </c>
      <c r="G319" s="21"/>
    </row>
    <row r="320">
      <c r="A320" s="4" t="s">
        <v>290</v>
      </c>
      <c r="B320" s="10">
        <v>2808545.0</v>
      </c>
      <c r="C320" s="16" t="s">
        <v>259</v>
      </c>
      <c r="D320" s="12" t="s">
        <v>26</v>
      </c>
      <c r="E320" s="13" t="s">
        <v>38</v>
      </c>
      <c r="F320" s="14">
        <v>0.013726851851851851</v>
      </c>
      <c r="G320" s="21"/>
    </row>
    <row r="321">
      <c r="A321" s="4" t="s">
        <v>290</v>
      </c>
      <c r="B321" s="10">
        <v>2812533.0</v>
      </c>
      <c r="C321" s="16" t="s">
        <v>333</v>
      </c>
      <c r="D321" s="12" t="s">
        <v>26</v>
      </c>
      <c r="E321" s="13" t="s">
        <v>38</v>
      </c>
      <c r="F321" s="14">
        <v>0.026284722222222223</v>
      </c>
      <c r="G321" s="21"/>
    </row>
    <row r="322">
      <c r="A322" s="4" t="s">
        <v>290</v>
      </c>
      <c r="B322" s="10">
        <v>2813144.0</v>
      </c>
      <c r="C322" s="16" t="s">
        <v>260</v>
      </c>
      <c r="D322" s="12" t="s">
        <v>26</v>
      </c>
      <c r="E322" s="13" t="s">
        <v>38</v>
      </c>
      <c r="F322" s="14">
        <v>0.012881944444444444</v>
      </c>
      <c r="G322" s="21"/>
    </row>
    <row r="323">
      <c r="A323" s="4" t="s">
        <v>290</v>
      </c>
      <c r="B323" s="10">
        <v>2243047.0</v>
      </c>
      <c r="C323" s="16" t="s">
        <v>205</v>
      </c>
      <c r="D323" s="12" t="s">
        <v>26</v>
      </c>
      <c r="E323" s="13" t="s">
        <v>38</v>
      </c>
      <c r="F323" s="14">
        <v>0.0059375</v>
      </c>
      <c r="G323" s="21"/>
    </row>
    <row r="324">
      <c r="A324" s="4" t="s">
        <v>290</v>
      </c>
      <c r="B324" s="10">
        <v>2834027.0</v>
      </c>
      <c r="C324" s="16" t="s">
        <v>334</v>
      </c>
      <c r="D324" s="12" t="s">
        <v>26</v>
      </c>
      <c r="E324" s="13" t="s">
        <v>38</v>
      </c>
      <c r="F324" s="14">
        <v>0.038738425925925926</v>
      </c>
      <c r="G324" s="21"/>
    </row>
    <row r="325">
      <c r="A325" s="4" t="s">
        <v>290</v>
      </c>
      <c r="B325" s="10">
        <v>2299019.0</v>
      </c>
      <c r="C325" s="16" t="s">
        <v>335</v>
      </c>
      <c r="D325" s="12" t="s">
        <v>26</v>
      </c>
      <c r="E325" s="13" t="s">
        <v>38</v>
      </c>
      <c r="F325" s="14">
        <v>0.015636574074074074</v>
      </c>
      <c r="G325" s="21"/>
    </row>
    <row r="326">
      <c r="A326" s="4" t="s">
        <v>290</v>
      </c>
      <c r="B326" s="10">
        <v>2837268.0</v>
      </c>
      <c r="C326" s="16" t="s">
        <v>336</v>
      </c>
      <c r="D326" s="12" t="s">
        <v>26</v>
      </c>
      <c r="E326" s="13" t="s">
        <v>38</v>
      </c>
      <c r="F326" s="14">
        <v>0.007592592592592593</v>
      </c>
      <c r="G326" s="21"/>
    </row>
    <row r="327">
      <c r="A327" s="4" t="s">
        <v>290</v>
      </c>
      <c r="B327" s="10">
        <v>2836031.0</v>
      </c>
      <c r="C327" s="16" t="s">
        <v>337</v>
      </c>
      <c r="D327" s="12" t="s">
        <v>26</v>
      </c>
      <c r="E327" s="13" t="s">
        <v>38</v>
      </c>
      <c r="F327" s="14">
        <v>0.01025462962962963</v>
      </c>
      <c r="G327" s="21"/>
    </row>
    <row r="328">
      <c r="A328" s="4" t="s">
        <v>290</v>
      </c>
      <c r="B328" s="10">
        <v>2873069.0</v>
      </c>
      <c r="C328" s="16" t="s">
        <v>338</v>
      </c>
      <c r="D328" s="12" t="s">
        <v>26</v>
      </c>
      <c r="E328" s="13" t="s">
        <v>38</v>
      </c>
      <c r="F328" s="14">
        <v>0.014710648148148148</v>
      </c>
      <c r="G328" s="21"/>
    </row>
    <row r="329">
      <c r="A329" s="4" t="s">
        <v>290</v>
      </c>
      <c r="B329" s="10">
        <v>2877030.0</v>
      </c>
      <c r="C329" s="16" t="s">
        <v>339</v>
      </c>
      <c r="D329" s="12" t="s">
        <v>26</v>
      </c>
      <c r="E329" s="13" t="s">
        <v>38</v>
      </c>
      <c r="F329" s="14">
        <v>0.014733796296296297</v>
      </c>
      <c r="G329" s="21"/>
    </row>
    <row r="330">
      <c r="A330" s="4" t="s">
        <v>290</v>
      </c>
      <c r="B330" s="10">
        <v>2865036.0</v>
      </c>
      <c r="C330" s="16" t="s">
        <v>340</v>
      </c>
      <c r="D330" s="12" t="s">
        <v>26</v>
      </c>
      <c r="E330" s="13" t="s">
        <v>38</v>
      </c>
      <c r="F330" s="14">
        <v>0.02568287037037037</v>
      </c>
      <c r="G330" s="21"/>
    </row>
    <row r="331">
      <c r="A331" s="4" t="s">
        <v>290</v>
      </c>
      <c r="B331" s="10">
        <v>2877078.0</v>
      </c>
      <c r="C331" s="16" t="s">
        <v>341</v>
      </c>
      <c r="D331" s="12" t="s">
        <v>26</v>
      </c>
      <c r="E331" s="13" t="s">
        <v>38</v>
      </c>
      <c r="F331" s="14">
        <v>0.02619212962962963</v>
      </c>
      <c r="G331" s="21"/>
    </row>
    <row r="332">
      <c r="A332" s="4" t="s">
        <v>290</v>
      </c>
      <c r="B332" s="10">
        <v>2877077.0</v>
      </c>
      <c r="C332" s="16" t="s">
        <v>342</v>
      </c>
      <c r="D332" s="12" t="s">
        <v>26</v>
      </c>
      <c r="E332" s="13" t="s">
        <v>38</v>
      </c>
      <c r="F332" s="14">
        <v>0.037766203703703705</v>
      </c>
      <c r="G332" s="21"/>
    </row>
    <row r="333">
      <c r="A333" s="4" t="s">
        <v>290</v>
      </c>
      <c r="B333" s="10">
        <v>2974329.0</v>
      </c>
      <c r="C333" s="16" t="s">
        <v>343</v>
      </c>
      <c r="D333" s="12" t="s">
        <v>26</v>
      </c>
      <c r="E333" s="13" t="s">
        <v>38</v>
      </c>
      <c r="F333" s="14">
        <v>0.12664351851851852</v>
      </c>
      <c r="G333" s="21"/>
    </row>
    <row r="334">
      <c r="A334" s="4" t="s">
        <v>290</v>
      </c>
      <c r="B334" s="10">
        <v>2834039.0</v>
      </c>
      <c r="C334" s="16" t="s">
        <v>211</v>
      </c>
      <c r="D334" s="12" t="s">
        <v>26</v>
      </c>
      <c r="E334" s="13" t="s">
        <v>38</v>
      </c>
      <c r="F334" s="14">
        <v>0.030601851851851852</v>
      </c>
      <c r="G334" s="21"/>
    </row>
    <row r="335">
      <c r="A335" s="4" t="s">
        <v>290</v>
      </c>
      <c r="B335" s="10">
        <v>2877282.0</v>
      </c>
      <c r="C335" s="16" t="s">
        <v>344</v>
      </c>
      <c r="D335" s="12" t="s">
        <v>26</v>
      </c>
      <c r="E335" s="13" t="s">
        <v>38</v>
      </c>
      <c r="F335" s="14">
        <v>0.054814814814814816</v>
      </c>
      <c r="G335" s="21"/>
    </row>
    <row r="336">
      <c r="A336" s="4" t="s">
        <v>290</v>
      </c>
      <c r="B336" s="10">
        <v>2882168.0</v>
      </c>
      <c r="C336" s="16" t="s">
        <v>345</v>
      </c>
      <c r="D336" s="12" t="s">
        <v>26</v>
      </c>
      <c r="E336" s="13" t="s">
        <v>38</v>
      </c>
      <c r="F336" s="14">
        <v>0.030949074074074073</v>
      </c>
      <c r="G336" s="21"/>
    </row>
    <row r="337">
      <c r="A337" s="4" t="s">
        <v>290</v>
      </c>
      <c r="B337" s="10">
        <v>2823588.0</v>
      </c>
      <c r="C337" s="16" t="s">
        <v>346</v>
      </c>
      <c r="D337" s="12" t="s">
        <v>26</v>
      </c>
      <c r="E337" s="13" t="s">
        <v>38</v>
      </c>
      <c r="F337" s="14">
        <v>0.01954861111111111</v>
      </c>
      <c r="G337" s="21"/>
    </row>
    <row r="338">
      <c r="A338" s="4" t="s">
        <v>290</v>
      </c>
      <c r="B338" s="10">
        <v>2881187.0</v>
      </c>
      <c r="C338" s="16" t="s">
        <v>347</v>
      </c>
      <c r="D338" s="12" t="s">
        <v>26</v>
      </c>
      <c r="E338" s="13" t="s">
        <v>38</v>
      </c>
      <c r="F338" s="14">
        <v>0.11833333333333333</v>
      </c>
      <c r="G338" s="21"/>
    </row>
    <row r="339">
      <c r="A339" s="4" t="s">
        <v>290</v>
      </c>
      <c r="B339" s="10">
        <v>2885185.0</v>
      </c>
      <c r="C339" s="16" t="s">
        <v>348</v>
      </c>
      <c r="D339" s="12" t="s">
        <v>26</v>
      </c>
      <c r="E339" s="13" t="s">
        <v>38</v>
      </c>
      <c r="F339" s="14">
        <v>0.0365625</v>
      </c>
      <c r="G339" s="21"/>
    </row>
    <row r="340">
      <c r="A340" s="4" t="s">
        <v>290</v>
      </c>
      <c r="B340" s="10">
        <v>2886207.0</v>
      </c>
      <c r="C340" s="16" t="s">
        <v>349</v>
      </c>
      <c r="D340" s="12" t="s">
        <v>26</v>
      </c>
      <c r="E340" s="13" t="s">
        <v>38</v>
      </c>
      <c r="F340" s="14">
        <v>0.04003472222222222</v>
      </c>
      <c r="G340" s="21"/>
    </row>
    <row r="341">
      <c r="A341" s="4" t="s">
        <v>290</v>
      </c>
      <c r="B341" s="10">
        <v>2881291.0</v>
      </c>
      <c r="C341" s="16" t="s">
        <v>350</v>
      </c>
      <c r="D341" s="12" t="s">
        <v>26</v>
      </c>
      <c r="E341" s="13" t="s">
        <v>38</v>
      </c>
      <c r="F341" s="14">
        <v>0.016875</v>
      </c>
      <c r="G341" s="21"/>
    </row>
    <row r="342">
      <c r="A342" s="4" t="s">
        <v>290</v>
      </c>
      <c r="B342" s="10">
        <v>2887335.0</v>
      </c>
      <c r="C342" s="16" t="s">
        <v>351</v>
      </c>
      <c r="D342" s="12" t="s">
        <v>26</v>
      </c>
      <c r="E342" s="13" t="s">
        <v>38</v>
      </c>
      <c r="F342" s="14">
        <v>0.01960648148148148</v>
      </c>
      <c r="G342" s="21"/>
    </row>
    <row r="343">
      <c r="A343" s="4" t="s">
        <v>290</v>
      </c>
      <c r="B343" s="10">
        <v>2423654.0</v>
      </c>
      <c r="C343" s="16" t="s">
        <v>352</v>
      </c>
      <c r="D343" s="12" t="s">
        <v>26</v>
      </c>
      <c r="E343" s="13" t="s">
        <v>38</v>
      </c>
      <c r="F343" s="14">
        <v>0.0062268518518518515</v>
      </c>
      <c r="G343" s="21"/>
    </row>
    <row r="344">
      <c r="A344" s="4" t="s">
        <v>290</v>
      </c>
      <c r="B344" s="10">
        <v>2426603.0</v>
      </c>
      <c r="C344" s="16" t="s">
        <v>353</v>
      </c>
      <c r="D344" s="12" t="s">
        <v>26</v>
      </c>
      <c r="E344" s="13" t="s">
        <v>38</v>
      </c>
      <c r="F344" s="14">
        <v>0.024467592592592593</v>
      </c>
      <c r="G344" s="21"/>
    </row>
    <row r="345">
      <c r="A345" s="4" t="s">
        <v>290</v>
      </c>
      <c r="B345" s="10">
        <v>3006797.0</v>
      </c>
      <c r="C345" s="16" t="s">
        <v>354</v>
      </c>
      <c r="D345" s="12" t="s">
        <v>26</v>
      </c>
      <c r="E345" s="13" t="s">
        <v>38</v>
      </c>
      <c r="F345" s="14">
        <v>0.012013888888888888</v>
      </c>
      <c r="G345" s="21"/>
    </row>
    <row r="346">
      <c r="A346" s="4" t="s">
        <v>290</v>
      </c>
      <c r="B346" s="10">
        <v>3010188.0</v>
      </c>
      <c r="C346" s="16" t="s">
        <v>355</v>
      </c>
      <c r="D346" s="12" t="s">
        <v>26</v>
      </c>
      <c r="E346" s="13" t="s">
        <v>38</v>
      </c>
      <c r="F346" s="14">
        <v>0.008888888888888889</v>
      </c>
      <c r="G346" s="21"/>
    </row>
    <row r="347">
      <c r="A347" s="4" t="s">
        <v>290</v>
      </c>
      <c r="B347" s="10">
        <v>3011746.0</v>
      </c>
      <c r="C347" s="16" t="s">
        <v>356</v>
      </c>
      <c r="D347" s="12" t="s">
        <v>26</v>
      </c>
      <c r="E347" s="13" t="s">
        <v>38</v>
      </c>
      <c r="F347" s="14">
        <v>0.023645833333333335</v>
      </c>
      <c r="G347" s="21"/>
    </row>
    <row r="348">
      <c r="A348" s="4" t="s">
        <v>290</v>
      </c>
      <c r="B348" s="10">
        <v>3013334.0</v>
      </c>
      <c r="C348" s="16" t="s">
        <v>357</v>
      </c>
      <c r="D348" s="12" t="s">
        <v>26</v>
      </c>
      <c r="E348" s="13" t="s">
        <v>38</v>
      </c>
      <c r="F348" s="14">
        <v>0.014791666666666667</v>
      </c>
      <c r="G348" s="21"/>
    </row>
    <row r="349">
      <c r="A349" s="4" t="s">
        <v>290</v>
      </c>
      <c r="B349" s="10">
        <v>3007730.0</v>
      </c>
      <c r="C349" s="16" t="s">
        <v>358</v>
      </c>
      <c r="D349" s="12" t="s">
        <v>26</v>
      </c>
      <c r="E349" s="13" t="s">
        <v>38</v>
      </c>
      <c r="F349" s="14">
        <v>0.011331018518518518</v>
      </c>
      <c r="G349" s="21"/>
    </row>
    <row r="350">
      <c r="A350" s="4" t="s">
        <v>290</v>
      </c>
      <c r="B350" s="10">
        <v>3009566.0</v>
      </c>
      <c r="C350" s="16" t="s">
        <v>359</v>
      </c>
      <c r="D350" s="12" t="s">
        <v>26</v>
      </c>
      <c r="E350" s="13" t="s">
        <v>38</v>
      </c>
      <c r="F350" s="14">
        <v>0.03563657407407408</v>
      </c>
      <c r="G350" s="21"/>
    </row>
    <row r="351">
      <c r="A351" s="4" t="s">
        <v>290</v>
      </c>
      <c r="B351" s="10">
        <v>2448118.0</v>
      </c>
      <c r="C351" s="16" t="s">
        <v>360</v>
      </c>
      <c r="D351" s="12" t="s">
        <v>26</v>
      </c>
      <c r="E351" s="13" t="s">
        <v>38</v>
      </c>
      <c r="F351" s="14">
        <v>0.03980324074074074</v>
      </c>
      <c r="G351" s="21"/>
    </row>
    <row r="352">
      <c r="A352" s="4" t="s">
        <v>290</v>
      </c>
      <c r="B352" s="10">
        <v>2449235.0</v>
      </c>
      <c r="C352" s="16" t="s">
        <v>361</v>
      </c>
      <c r="D352" s="12" t="s">
        <v>26</v>
      </c>
      <c r="E352" s="13" t="s">
        <v>38</v>
      </c>
      <c r="F352" s="14">
        <v>0.028680555555555556</v>
      </c>
      <c r="G352" s="21"/>
    </row>
    <row r="353">
      <c r="A353" s="4" t="s">
        <v>290</v>
      </c>
      <c r="B353" s="10">
        <v>3013335.0</v>
      </c>
      <c r="C353" s="16" t="s">
        <v>362</v>
      </c>
      <c r="D353" s="12" t="s">
        <v>26</v>
      </c>
      <c r="E353" s="13" t="s">
        <v>38</v>
      </c>
      <c r="F353" s="14">
        <v>0.018032407407407407</v>
      </c>
      <c r="G353" s="21"/>
    </row>
    <row r="354">
      <c r="A354" s="4" t="s">
        <v>290</v>
      </c>
      <c r="B354" s="10">
        <v>693068.0</v>
      </c>
      <c r="C354" s="16" t="s">
        <v>363</v>
      </c>
      <c r="D354" s="12" t="s">
        <v>26</v>
      </c>
      <c r="E354" s="13" t="s">
        <v>19</v>
      </c>
      <c r="F354" s="14">
        <v>0.04548611111111111</v>
      </c>
      <c r="G354" s="21"/>
    </row>
    <row r="355">
      <c r="A355" s="4" t="s">
        <v>290</v>
      </c>
      <c r="B355" s="10">
        <v>2823321.0</v>
      </c>
      <c r="C355" s="16" t="s">
        <v>271</v>
      </c>
      <c r="D355" s="12" t="s">
        <v>26</v>
      </c>
      <c r="E355" s="13" t="s">
        <v>19</v>
      </c>
      <c r="F355" s="14">
        <v>0.026203703703703705</v>
      </c>
      <c r="G355" s="21"/>
    </row>
    <row r="356">
      <c r="A356" s="4" t="s">
        <v>290</v>
      </c>
      <c r="B356" s="10">
        <v>2816032.0</v>
      </c>
      <c r="C356" s="16" t="s">
        <v>364</v>
      </c>
      <c r="D356" s="12" t="s">
        <v>26</v>
      </c>
      <c r="E356" s="13" t="s">
        <v>19</v>
      </c>
      <c r="F356" s="14">
        <v>0.021828703703703704</v>
      </c>
      <c r="G356" s="21"/>
    </row>
    <row r="357">
      <c r="A357" s="4" t="s">
        <v>290</v>
      </c>
      <c r="B357" s="10">
        <v>808669.0</v>
      </c>
      <c r="C357" s="16" t="s">
        <v>365</v>
      </c>
      <c r="D357" s="12" t="s">
        <v>26</v>
      </c>
      <c r="E357" s="13" t="s">
        <v>19</v>
      </c>
      <c r="F357" s="14">
        <v>0.03993055555555555</v>
      </c>
      <c r="G357" s="21"/>
    </row>
    <row r="358">
      <c r="A358" s="4" t="s">
        <v>290</v>
      </c>
      <c r="B358" s="10">
        <v>700791.0</v>
      </c>
      <c r="C358" s="16" t="s">
        <v>273</v>
      </c>
      <c r="D358" s="12" t="s">
        <v>26</v>
      </c>
      <c r="E358" s="13" t="s">
        <v>19</v>
      </c>
      <c r="F358" s="14">
        <v>0.040219907407407406</v>
      </c>
      <c r="G358" s="21"/>
    </row>
    <row r="359">
      <c r="A359" s="4" t="s">
        <v>290</v>
      </c>
      <c r="B359" s="10">
        <v>653220.0</v>
      </c>
      <c r="C359" s="16" t="s">
        <v>275</v>
      </c>
      <c r="D359" s="12" t="s">
        <v>26</v>
      </c>
      <c r="E359" s="13" t="s">
        <v>19</v>
      </c>
      <c r="F359" s="14">
        <v>0.020162037037037037</v>
      </c>
      <c r="G359" s="21"/>
    </row>
    <row r="360">
      <c r="A360" s="4" t="s">
        <v>290</v>
      </c>
      <c r="B360" s="10">
        <v>743144.0</v>
      </c>
      <c r="C360" s="16" t="s">
        <v>366</v>
      </c>
      <c r="D360" s="12" t="s">
        <v>26</v>
      </c>
      <c r="E360" s="13" t="s">
        <v>15</v>
      </c>
      <c r="F360" s="14">
        <v>0.044270833333333336</v>
      </c>
      <c r="G360" s="21"/>
    </row>
    <row r="361">
      <c r="A361" s="4" t="s">
        <v>290</v>
      </c>
      <c r="B361" s="10">
        <v>2814066.0</v>
      </c>
      <c r="C361" s="16" t="s">
        <v>367</v>
      </c>
      <c r="D361" s="12" t="s">
        <v>26</v>
      </c>
      <c r="E361" s="13" t="s">
        <v>15</v>
      </c>
      <c r="F361" s="14">
        <v>0.02802083333333333</v>
      </c>
      <c r="G361" s="21"/>
    </row>
    <row r="362">
      <c r="A362" s="4" t="s">
        <v>290</v>
      </c>
      <c r="B362" s="10">
        <v>2839042.0</v>
      </c>
      <c r="C362" s="16" t="s">
        <v>368</v>
      </c>
      <c r="D362" s="12" t="s">
        <v>26</v>
      </c>
      <c r="E362" s="13" t="s">
        <v>15</v>
      </c>
      <c r="F362" s="14">
        <v>0.021527777777777778</v>
      </c>
      <c r="G362" s="21"/>
    </row>
    <row r="363">
      <c r="A363" s="4" t="s">
        <v>290</v>
      </c>
      <c r="B363" s="10">
        <v>2825490.0</v>
      </c>
      <c r="C363" s="16" t="s">
        <v>369</v>
      </c>
      <c r="D363" s="12" t="s">
        <v>26</v>
      </c>
      <c r="E363" s="13" t="s">
        <v>15</v>
      </c>
      <c r="F363" s="14">
        <v>0.027372685185185184</v>
      </c>
      <c r="G363" s="21"/>
    </row>
    <row r="364">
      <c r="A364" s="4" t="s">
        <v>290</v>
      </c>
      <c r="B364" s="10">
        <v>711805.0</v>
      </c>
      <c r="C364" s="16" t="s">
        <v>370</v>
      </c>
      <c r="D364" s="12" t="s">
        <v>26</v>
      </c>
      <c r="E364" s="13" t="s">
        <v>109</v>
      </c>
      <c r="F364" s="14">
        <v>0.031516203703703706</v>
      </c>
      <c r="G364" s="21"/>
    </row>
    <row r="365">
      <c r="A365" s="4" t="s">
        <v>290</v>
      </c>
      <c r="B365" s="10">
        <v>2897258.0</v>
      </c>
      <c r="C365" s="16" t="s">
        <v>371</v>
      </c>
      <c r="D365" s="12" t="s">
        <v>26</v>
      </c>
      <c r="E365" s="13" t="s">
        <v>26</v>
      </c>
      <c r="F365" s="14">
        <v>0.022060185185185186</v>
      </c>
      <c r="G365" s="21"/>
    </row>
    <row r="366">
      <c r="A366" s="4" t="s">
        <v>290</v>
      </c>
      <c r="B366" s="10">
        <v>3010524.0</v>
      </c>
      <c r="C366" s="16" t="s">
        <v>372</v>
      </c>
      <c r="D366" s="12" t="s">
        <v>26</v>
      </c>
      <c r="E366" s="13" t="s">
        <v>26</v>
      </c>
      <c r="F366" s="14">
        <v>0.01425925925925926</v>
      </c>
      <c r="G366" s="21"/>
    </row>
    <row r="367">
      <c r="A367" s="4" t="s">
        <v>290</v>
      </c>
      <c r="B367" s="10">
        <v>3011513.0</v>
      </c>
      <c r="C367" s="16" t="s">
        <v>373</v>
      </c>
      <c r="D367" s="12" t="s">
        <v>26</v>
      </c>
      <c r="E367" s="13" t="s">
        <v>26</v>
      </c>
      <c r="F367" s="14">
        <v>0.017361111111111112</v>
      </c>
      <c r="G367" s="21"/>
    </row>
    <row r="368">
      <c r="A368" s="4" t="s">
        <v>290</v>
      </c>
      <c r="B368" s="10">
        <v>482051.0</v>
      </c>
      <c r="C368" s="16" t="s">
        <v>374</v>
      </c>
      <c r="D368" s="12" t="s">
        <v>26</v>
      </c>
      <c r="E368" s="13" t="s">
        <v>26</v>
      </c>
      <c r="F368" s="14">
        <v>0.018877314814814816</v>
      </c>
      <c r="G368" s="21"/>
    </row>
    <row r="369">
      <c r="A369" s="4" t="s">
        <v>290</v>
      </c>
      <c r="B369" s="10">
        <v>359601.0</v>
      </c>
      <c r="C369" s="16" t="s">
        <v>375</v>
      </c>
      <c r="D369" s="12" t="s">
        <v>26</v>
      </c>
      <c r="E369" s="13" t="s">
        <v>26</v>
      </c>
      <c r="F369" s="14">
        <v>0.053321759259259256</v>
      </c>
      <c r="G369" s="21"/>
    </row>
    <row r="370">
      <c r="A370" s="4" t="s">
        <v>290</v>
      </c>
      <c r="B370" s="10">
        <v>2825076.0</v>
      </c>
      <c r="C370" s="16" t="s">
        <v>376</v>
      </c>
      <c r="D370" s="12" t="s">
        <v>26</v>
      </c>
      <c r="E370" s="13" t="s">
        <v>26</v>
      </c>
      <c r="F370" s="14">
        <v>0.02017361111111111</v>
      </c>
      <c r="G370" s="21"/>
    </row>
    <row r="371">
      <c r="A371" s="4" t="s">
        <v>290</v>
      </c>
      <c r="B371" s="10">
        <v>2825261.0</v>
      </c>
      <c r="C371" s="16" t="s">
        <v>377</v>
      </c>
      <c r="D371" s="12" t="s">
        <v>26</v>
      </c>
      <c r="E371" s="13" t="s">
        <v>26</v>
      </c>
      <c r="F371" s="14">
        <v>0.021111111111111112</v>
      </c>
      <c r="G371" s="21"/>
    </row>
    <row r="372">
      <c r="A372" s="4" t="s">
        <v>290</v>
      </c>
      <c r="B372" s="10">
        <v>2976136.0</v>
      </c>
      <c r="C372" s="16" t="s">
        <v>378</v>
      </c>
      <c r="D372" s="12" t="s">
        <v>26</v>
      </c>
      <c r="E372" s="13" t="s">
        <v>26</v>
      </c>
      <c r="F372" s="14">
        <v>0.07379629629629629</v>
      </c>
      <c r="G372" s="21"/>
    </row>
    <row r="373">
      <c r="A373" s="4" t="s">
        <v>290</v>
      </c>
      <c r="B373" s="10">
        <v>5025098.0</v>
      </c>
      <c r="C373" s="16" t="s">
        <v>282</v>
      </c>
      <c r="D373" s="12" t="s">
        <v>26</v>
      </c>
      <c r="E373" s="13" t="s">
        <v>26</v>
      </c>
      <c r="F373" s="14">
        <v>0.036944444444444446</v>
      </c>
      <c r="G373" s="21"/>
    </row>
    <row r="374">
      <c r="A374" s="4" t="s">
        <v>290</v>
      </c>
      <c r="B374" s="10">
        <v>2825731.0</v>
      </c>
      <c r="C374" s="16" t="s">
        <v>379</v>
      </c>
      <c r="D374" s="12" t="s">
        <v>26</v>
      </c>
      <c r="E374" s="13" t="s">
        <v>26</v>
      </c>
      <c r="F374" s="14">
        <v>0.04535879629629629</v>
      </c>
      <c r="G374" s="21"/>
    </row>
    <row r="375">
      <c r="A375" s="4" t="s">
        <v>290</v>
      </c>
      <c r="B375" s="10">
        <v>2353949.0</v>
      </c>
      <c r="C375" s="16" t="s">
        <v>380</v>
      </c>
      <c r="D375" s="12" t="s">
        <v>26</v>
      </c>
      <c r="E375" s="13" t="s">
        <v>26</v>
      </c>
      <c r="F375" s="14">
        <v>0.037905092592592594</v>
      </c>
      <c r="G375" s="21"/>
    </row>
    <row r="376">
      <c r="A376" s="4" t="s">
        <v>290</v>
      </c>
      <c r="B376" s="10">
        <v>2849185.0</v>
      </c>
      <c r="C376" s="16" t="s">
        <v>283</v>
      </c>
      <c r="D376" s="12" t="s">
        <v>26</v>
      </c>
      <c r="E376" s="13" t="s">
        <v>26</v>
      </c>
      <c r="F376" s="14">
        <v>0.01565972222222222</v>
      </c>
      <c r="G376" s="21"/>
    </row>
    <row r="377">
      <c r="A377" s="4" t="s">
        <v>290</v>
      </c>
      <c r="B377" s="10">
        <v>2848321.0</v>
      </c>
      <c r="C377" s="16" t="s">
        <v>381</v>
      </c>
      <c r="D377" s="12" t="s">
        <v>26</v>
      </c>
      <c r="E377" s="13" t="s">
        <v>26</v>
      </c>
      <c r="F377" s="14">
        <v>0.011284722222222222</v>
      </c>
      <c r="G377" s="21"/>
    </row>
    <row r="378">
      <c r="A378" s="4" t="s">
        <v>290</v>
      </c>
      <c r="B378" s="10">
        <v>2825696.0</v>
      </c>
      <c r="C378" s="16" t="s">
        <v>382</v>
      </c>
      <c r="D378" s="12" t="s">
        <v>26</v>
      </c>
      <c r="E378" s="13" t="s">
        <v>26</v>
      </c>
      <c r="F378" s="14">
        <v>0.015555555555555555</v>
      </c>
      <c r="G378" s="21"/>
    </row>
    <row r="379">
      <c r="A379" s="4" t="s">
        <v>290</v>
      </c>
      <c r="B379" s="10">
        <v>2878126.0</v>
      </c>
      <c r="C379" s="16" t="s">
        <v>383</v>
      </c>
      <c r="D379" s="12" t="s">
        <v>26</v>
      </c>
      <c r="E379" s="13" t="s">
        <v>26</v>
      </c>
      <c r="F379" s="14">
        <v>0.016689814814814814</v>
      </c>
      <c r="G379" s="21"/>
    </row>
    <row r="380">
      <c r="A380" s="4" t="s">
        <v>290</v>
      </c>
      <c r="B380" s="10">
        <v>2824373.0</v>
      </c>
      <c r="C380" s="16" t="s">
        <v>384</v>
      </c>
      <c r="D380" s="12" t="s">
        <v>26</v>
      </c>
      <c r="E380" s="13" t="s">
        <v>26</v>
      </c>
      <c r="F380" s="14">
        <v>0.02428240740740741</v>
      </c>
      <c r="G380" s="21"/>
    </row>
    <row r="381">
      <c r="A381" s="4" t="s">
        <v>290</v>
      </c>
      <c r="B381" s="10">
        <v>2874051.0</v>
      </c>
      <c r="C381" s="16" t="s">
        <v>385</v>
      </c>
      <c r="D381" s="12" t="s">
        <v>26</v>
      </c>
      <c r="E381" s="13" t="s">
        <v>26</v>
      </c>
      <c r="F381" s="14">
        <v>0.03459490740740741</v>
      </c>
      <c r="G381" s="21"/>
    </row>
    <row r="382">
      <c r="A382" s="4" t="s">
        <v>290</v>
      </c>
      <c r="B382" s="10">
        <v>2874052.0</v>
      </c>
      <c r="C382" s="16" t="s">
        <v>386</v>
      </c>
      <c r="D382" s="12" t="s">
        <v>26</v>
      </c>
      <c r="E382" s="13" t="s">
        <v>26</v>
      </c>
      <c r="F382" s="14">
        <v>0.03469907407407408</v>
      </c>
      <c r="G382" s="21"/>
    </row>
    <row r="383">
      <c r="A383" s="4" t="s">
        <v>290</v>
      </c>
      <c r="B383" s="10">
        <v>2829004.0</v>
      </c>
      <c r="C383" s="16" t="s">
        <v>387</v>
      </c>
      <c r="D383" s="12" t="s">
        <v>26</v>
      </c>
      <c r="E383" s="13" t="s">
        <v>26</v>
      </c>
      <c r="F383" s="14">
        <v>0.03533564814814815</v>
      </c>
      <c r="G383" s="21"/>
    </row>
    <row r="384">
      <c r="A384" s="4" t="s">
        <v>290</v>
      </c>
      <c r="B384" s="10">
        <v>2401226.0</v>
      </c>
      <c r="C384" s="16" t="s">
        <v>388</v>
      </c>
      <c r="D384" s="12" t="s">
        <v>26</v>
      </c>
      <c r="E384" s="13" t="s">
        <v>26</v>
      </c>
      <c r="F384" s="14">
        <v>0.025775462962962962</v>
      </c>
      <c r="G384" s="21"/>
    </row>
    <row r="385">
      <c r="A385" s="4" t="s">
        <v>290</v>
      </c>
      <c r="B385" s="10">
        <v>2833082.0</v>
      </c>
      <c r="C385" s="16" t="s">
        <v>389</v>
      </c>
      <c r="D385" s="12" t="s">
        <v>26</v>
      </c>
      <c r="E385" s="13" t="s">
        <v>26</v>
      </c>
      <c r="F385" s="14">
        <v>0.02877314814814815</v>
      </c>
      <c r="G385" s="21"/>
    </row>
    <row r="386">
      <c r="A386" s="4" t="s">
        <v>290</v>
      </c>
      <c r="B386" s="10">
        <v>2825739.0</v>
      </c>
      <c r="C386" s="16" t="s">
        <v>390</v>
      </c>
      <c r="D386" s="12" t="s">
        <v>26</v>
      </c>
      <c r="E386" s="13" t="s">
        <v>26</v>
      </c>
      <c r="F386" s="14">
        <v>0.028125</v>
      </c>
      <c r="G386" s="21"/>
    </row>
    <row r="387">
      <c r="A387" s="4" t="s">
        <v>290</v>
      </c>
      <c r="B387" s="10">
        <v>2894005.0</v>
      </c>
      <c r="C387" s="16" t="s">
        <v>391</v>
      </c>
      <c r="D387" s="12" t="s">
        <v>26</v>
      </c>
      <c r="E387" s="13" t="s">
        <v>26</v>
      </c>
      <c r="F387" s="14">
        <v>0.03127314814814815</v>
      </c>
      <c r="G387" s="21"/>
    </row>
    <row r="388">
      <c r="A388" s="4" t="s">
        <v>290</v>
      </c>
      <c r="B388" s="10">
        <v>2825372.0</v>
      </c>
      <c r="C388" s="16" t="s">
        <v>392</v>
      </c>
      <c r="D388" s="12" t="s">
        <v>26</v>
      </c>
      <c r="E388" s="13" t="s">
        <v>26</v>
      </c>
      <c r="F388" s="14">
        <v>0.03002314814814815</v>
      </c>
      <c r="G388" s="21"/>
    </row>
    <row r="389">
      <c r="A389" s="4" t="s">
        <v>290</v>
      </c>
      <c r="B389" s="10">
        <v>2835067.0</v>
      </c>
      <c r="C389" s="16" t="s">
        <v>393</v>
      </c>
      <c r="D389" s="12" t="s">
        <v>26</v>
      </c>
      <c r="E389" s="13" t="s">
        <v>26</v>
      </c>
      <c r="F389" s="14">
        <v>0.019467592592592592</v>
      </c>
      <c r="G389" s="21"/>
    </row>
    <row r="390">
      <c r="A390" s="4" t="s">
        <v>290</v>
      </c>
      <c r="B390" s="10">
        <v>176760.0</v>
      </c>
      <c r="C390" s="16" t="s">
        <v>278</v>
      </c>
      <c r="D390" s="12" t="s">
        <v>26</v>
      </c>
      <c r="E390" s="13" t="s">
        <v>26</v>
      </c>
      <c r="F390" s="14">
        <v>0.04486111111111111</v>
      </c>
      <c r="G390" s="21"/>
    </row>
    <row r="391">
      <c r="A391" s="4" t="s">
        <v>290</v>
      </c>
      <c r="B391" s="10">
        <v>148625.0</v>
      </c>
      <c r="C391" s="16" t="s">
        <v>394</v>
      </c>
      <c r="D391" s="12" t="s">
        <v>26</v>
      </c>
      <c r="E391" s="13" t="s">
        <v>26</v>
      </c>
      <c r="F391" s="14">
        <v>0.02903935185185185</v>
      </c>
      <c r="G391" s="21"/>
    </row>
    <row r="392">
      <c r="A392" s="4" t="s">
        <v>290</v>
      </c>
      <c r="B392" s="10">
        <v>2424508.0</v>
      </c>
      <c r="C392" s="16" t="s">
        <v>395</v>
      </c>
      <c r="D392" s="12" t="s">
        <v>26</v>
      </c>
      <c r="E392" s="13" t="s">
        <v>26</v>
      </c>
      <c r="F392" s="14">
        <v>0.0434375</v>
      </c>
      <c r="G392" s="21"/>
    </row>
    <row r="393">
      <c r="A393" s="4" t="s">
        <v>290</v>
      </c>
      <c r="B393" s="10">
        <v>2425282.0</v>
      </c>
      <c r="C393" s="16" t="s">
        <v>396</v>
      </c>
      <c r="D393" s="12" t="s">
        <v>26</v>
      </c>
      <c r="E393" s="13" t="s">
        <v>26</v>
      </c>
      <c r="F393" s="14">
        <v>0.03449074074074074</v>
      </c>
      <c r="G393" s="21"/>
    </row>
    <row r="394">
      <c r="A394" s="4" t="s">
        <v>290</v>
      </c>
      <c r="B394" s="10">
        <v>2425359.0</v>
      </c>
      <c r="C394" s="16" t="s">
        <v>277</v>
      </c>
      <c r="D394" s="12" t="s">
        <v>26</v>
      </c>
      <c r="E394" s="13" t="s">
        <v>26</v>
      </c>
      <c r="F394" s="14">
        <v>0.02966435185185185</v>
      </c>
      <c r="G394" s="21"/>
    </row>
    <row r="395">
      <c r="A395" s="4" t="s">
        <v>397</v>
      </c>
      <c r="B395" s="5" t="s">
        <v>8</v>
      </c>
      <c r="C395" s="6" t="s">
        <v>9</v>
      </c>
      <c r="D395" s="7" t="s">
        <v>3</v>
      </c>
      <c r="E395" s="7" t="s">
        <v>10</v>
      </c>
      <c r="F395" s="8" t="s">
        <v>11</v>
      </c>
      <c r="G395" s="9" t="s">
        <v>12</v>
      </c>
    </row>
    <row r="396">
      <c r="A396" s="4" t="s">
        <v>397</v>
      </c>
      <c r="B396" s="10">
        <v>664804.0</v>
      </c>
      <c r="C396" s="16" t="s">
        <v>398</v>
      </c>
      <c r="D396" s="12" t="s">
        <v>14</v>
      </c>
      <c r="E396" s="13" t="s">
        <v>15</v>
      </c>
      <c r="F396" s="14">
        <v>0.04708333333333333</v>
      </c>
      <c r="G396" s="15" t="s">
        <v>399</v>
      </c>
    </row>
    <row r="397">
      <c r="A397" s="4" t="s">
        <v>397</v>
      </c>
      <c r="B397" s="10">
        <v>5015882.0</v>
      </c>
      <c r="C397" s="16" t="s">
        <v>118</v>
      </c>
      <c r="D397" s="12" t="s">
        <v>14</v>
      </c>
      <c r="E397" s="13" t="s">
        <v>15</v>
      </c>
      <c r="F397" s="14">
        <v>0.019085648148148147</v>
      </c>
      <c r="G397" s="15" t="s">
        <v>171</v>
      </c>
    </row>
    <row r="398">
      <c r="A398" s="4" t="s">
        <v>397</v>
      </c>
      <c r="B398" s="10">
        <v>2242042.0</v>
      </c>
      <c r="C398" s="16" t="s">
        <v>400</v>
      </c>
      <c r="D398" s="12" t="s">
        <v>14</v>
      </c>
      <c r="E398" s="13" t="s">
        <v>26</v>
      </c>
      <c r="F398" s="14">
        <v>0.005914351851851852</v>
      </c>
      <c r="G398" s="15" t="s">
        <v>116</v>
      </c>
    </row>
    <row r="399">
      <c r="A399" s="4" t="s">
        <v>397</v>
      </c>
      <c r="B399" s="10">
        <v>182921.0</v>
      </c>
      <c r="C399" s="16" t="s">
        <v>401</v>
      </c>
      <c r="D399" s="12" t="s">
        <v>18</v>
      </c>
      <c r="E399" s="13" t="s">
        <v>109</v>
      </c>
      <c r="F399" s="14">
        <v>0.04356481481481481</v>
      </c>
      <c r="G399" s="15" t="s">
        <v>402</v>
      </c>
    </row>
    <row r="400">
      <c r="A400" s="4" t="s">
        <v>397</v>
      </c>
      <c r="B400" s="10">
        <v>580624.0</v>
      </c>
      <c r="C400" s="16" t="s">
        <v>121</v>
      </c>
      <c r="D400" s="12" t="s">
        <v>18</v>
      </c>
      <c r="E400" s="13" t="s">
        <v>15</v>
      </c>
      <c r="F400" s="14">
        <v>0.03596064814814815</v>
      </c>
      <c r="G400" s="21"/>
    </row>
    <row r="401">
      <c r="A401" s="4" t="s">
        <v>397</v>
      </c>
      <c r="B401" s="10">
        <v>743145.0</v>
      </c>
      <c r="C401" s="16" t="s">
        <v>306</v>
      </c>
      <c r="D401" s="12" t="s">
        <v>18</v>
      </c>
      <c r="E401" s="13" t="s">
        <v>15</v>
      </c>
      <c r="F401" s="14">
        <v>0.028483796296296295</v>
      </c>
      <c r="G401" s="21"/>
    </row>
    <row r="402">
      <c r="A402" s="4" t="s">
        <v>397</v>
      </c>
      <c r="B402" s="10">
        <v>2825157.0</v>
      </c>
      <c r="C402" s="16" t="s">
        <v>403</v>
      </c>
      <c r="D402" s="12" t="s">
        <v>34</v>
      </c>
      <c r="E402" s="13" t="s">
        <v>19</v>
      </c>
      <c r="F402" s="14">
        <v>0.046296296296296294</v>
      </c>
      <c r="G402" s="21"/>
    </row>
    <row r="403">
      <c r="A403" s="4" t="s">
        <v>397</v>
      </c>
      <c r="B403" s="10">
        <v>2241055.0</v>
      </c>
      <c r="C403" s="16" t="s">
        <v>404</v>
      </c>
      <c r="D403" s="12" t="s">
        <v>34</v>
      </c>
      <c r="E403" s="13" t="s">
        <v>26</v>
      </c>
      <c r="F403" s="14">
        <v>0.0060185185185185185</v>
      </c>
      <c r="G403" s="21"/>
    </row>
    <row r="404">
      <c r="A404" s="4" t="s">
        <v>397</v>
      </c>
      <c r="B404" s="10">
        <v>656781.0</v>
      </c>
      <c r="C404" s="16" t="s">
        <v>190</v>
      </c>
      <c r="D404" s="12" t="s">
        <v>34</v>
      </c>
      <c r="E404" s="13" t="s">
        <v>15</v>
      </c>
      <c r="F404" s="14">
        <v>0.03</v>
      </c>
      <c r="G404" s="21"/>
    </row>
    <row r="405">
      <c r="A405" s="4" t="s">
        <v>397</v>
      </c>
      <c r="B405" s="10">
        <v>601769.0</v>
      </c>
      <c r="C405" s="16" t="s">
        <v>405</v>
      </c>
      <c r="D405" s="12" t="s">
        <v>34</v>
      </c>
      <c r="E405" s="13" t="s">
        <v>15</v>
      </c>
      <c r="F405" s="14">
        <v>0.05277777777777778</v>
      </c>
      <c r="G405" s="21"/>
    </row>
    <row r="406">
      <c r="A406" s="4" t="s">
        <v>397</v>
      </c>
      <c r="B406" s="10">
        <v>808670.0</v>
      </c>
      <c r="C406" s="16" t="s">
        <v>406</v>
      </c>
      <c r="D406" s="12" t="s">
        <v>34</v>
      </c>
      <c r="E406" s="13" t="s">
        <v>15</v>
      </c>
      <c r="F406" s="14">
        <v>0.03384259259259259</v>
      </c>
      <c r="G406" s="21"/>
    </row>
    <row r="407">
      <c r="A407" s="4" t="s">
        <v>397</v>
      </c>
      <c r="B407" s="10">
        <v>746305.0</v>
      </c>
      <c r="C407" s="16" t="s">
        <v>407</v>
      </c>
      <c r="D407" s="12" t="s">
        <v>34</v>
      </c>
      <c r="E407" s="13" t="s">
        <v>15</v>
      </c>
      <c r="F407" s="14">
        <v>0.04052083333333333</v>
      </c>
      <c r="G407" s="21"/>
    </row>
    <row r="408">
      <c r="A408" s="4" t="s">
        <v>397</v>
      </c>
      <c r="B408" s="10">
        <v>681075.0</v>
      </c>
      <c r="C408" s="16" t="s">
        <v>194</v>
      </c>
      <c r="D408" s="12" t="s">
        <v>34</v>
      </c>
      <c r="E408" s="13" t="s">
        <v>15</v>
      </c>
      <c r="F408" s="14">
        <v>0.049166666666666664</v>
      </c>
      <c r="G408" s="21"/>
    </row>
    <row r="409">
      <c r="A409" s="4" t="s">
        <v>397</v>
      </c>
      <c r="B409" s="10">
        <v>2820193.0</v>
      </c>
      <c r="C409" s="16" t="s">
        <v>408</v>
      </c>
      <c r="D409" s="12" t="s">
        <v>34</v>
      </c>
      <c r="E409" s="13" t="s">
        <v>15</v>
      </c>
      <c r="F409" s="14">
        <v>0.04107638888888889</v>
      </c>
      <c r="G409" s="21"/>
    </row>
    <row r="410">
      <c r="A410" s="4" t="s">
        <v>397</v>
      </c>
      <c r="B410" s="10">
        <v>5015883.0</v>
      </c>
      <c r="C410" s="16" t="s">
        <v>409</v>
      </c>
      <c r="D410" s="12" t="s">
        <v>34</v>
      </c>
      <c r="E410" s="13" t="s">
        <v>15</v>
      </c>
      <c r="F410" s="14">
        <v>0.012337962962962964</v>
      </c>
      <c r="G410" s="21"/>
    </row>
    <row r="411">
      <c r="A411" s="4" t="s">
        <v>397</v>
      </c>
      <c r="B411" s="10">
        <v>2870082.0</v>
      </c>
      <c r="C411" s="16" t="s">
        <v>410</v>
      </c>
      <c r="D411" s="12" t="s">
        <v>31</v>
      </c>
      <c r="E411" s="13" t="s">
        <v>26</v>
      </c>
      <c r="F411" s="14">
        <v>0.03799768518518518</v>
      </c>
      <c r="G411" s="21"/>
    </row>
    <row r="412">
      <c r="A412" s="4" t="s">
        <v>397</v>
      </c>
      <c r="B412" s="10">
        <v>784281.0</v>
      </c>
      <c r="C412" s="16" t="s">
        <v>411</v>
      </c>
      <c r="D412" s="12" t="s">
        <v>26</v>
      </c>
      <c r="E412" s="13" t="s">
        <v>109</v>
      </c>
      <c r="F412" s="14">
        <v>0.034409722222222223</v>
      </c>
      <c r="G412" s="21"/>
    </row>
    <row r="413">
      <c r="A413" s="4" t="s">
        <v>397</v>
      </c>
      <c r="B413" s="10">
        <v>2885186.0</v>
      </c>
      <c r="C413" s="16" t="s">
        <v>412</v>
      </c>
      <c r="D413" s="12" t="s">
        <v>26</v>
      </c>
      <c r="E413" s="13" t="s">
        <v>109</v>
      </c>
      <c r="F413" s="14">
        <v>0.03644675925925926</v>
      </c>
      <c r="G413" s="21"/>
    </row>
    <row r="414">
      <c r="A414" s="4" t="s">
        <v>397</v>
      </c>
      <c r="B414" s="10">
        <v>2832010.0</v>
      </c>
      <c r="C414" s="16" t="s">
        <v>413</v>
      </c>
      <c r="D414" s="12" t="s">
        <v>26</v>
      </c>
      <c r="E414" s="13" t="s">
        <v>38</v>
      </c>
      <c r="F414" s="14">
        <v>0.018171296296296297</v>
      </c>
      <c r="G414" s="21"/>
    </row>
    <row r="415">
      <c r="A415" s="4" t="s">
        <v>397</v>
      </c>
      <c r="B415" s="10">
        <v>2870084.0</v>
      </c>
      <c r="C415" s="16" t="s">
        <v>61</v>
      </c>
      <c r="D415" s="12" t="s">
        <v>26</v>
      </c>
      <c r="E415" s="13" t="s">
        <v>38</v>
      </c>
      <c r="F415" s="14">
        <v>0.01681712962962963</v>
      </c>
      <c r="G415" s="21"/>
    </row>
    <row r="416">
      <c r="A416" s="4" t="s">
        <v>397</v>
      </c>
      <c r="B416" s="10">
        <v>534584.0</v>
      </c>
      <c r="C416" s="16" t="s">
        <v>254</v>
      </c>
      <c r="D416" s="12" t="s">
        <v>26</v>
      </c>
      <c r="E416" s="13" t="s">
        <v>38</v>
      </c>
      <c r="F416" s="14">
        <v>0.026087962962962962</v>
      </c>
      <c r="G416" s="21"/>
    </row>
    <row r="417">
      <c r="A417" s="4" t="s">
        <v>397</v>
      </c>
      <c r="B417" s="10">
        <v>746260.0</v>
      </c>
      <c r="C417" s="16" t="s">
        <v>414</v>
      </c>
      <c r="D417" s="12" t="s">
        <v>26</v>
      </c>
      <c r="E417" s="13" t="s">
        <v>38</v>
      </c>
      <c r="F417" s="14">
        <v>0.03556712962962963</v>
      </c>
      <c r="G417" s="21"/>
    </row>
    <row r="418">
      <c r="A418" s="4" t="s">
        <v>397</v>
      </c>
      <c r="B418" s="10">
        <v>2825336.0</v>
      </c>
      <c r="C418" s="16" t="s">
        <v>415</v>
      </c>
      <c r="D418" s="12" t="s">
        <v>26</v>
      </c>
      <c r="E418" s="13" t="s">
        <v>38</v>
      </c>
      <c r="F418" s="14">
        <v>0.013206018518518518</v>
      </c>
      <c r="G418" s="21"/>
    </row>
    <row r="419">
      <c r="A419" s="4" t="s">
        <v>397</v>
      </c>
      <c r="B419" s="10">
        <v>2887217.0</v>
      </c>
      <c r="C419" s="16" t="s">
        <v>266</v>
      </c>
      <c r="D419" s="12" t="s">
        <v>26</v>
      </c>
      <c r="E419" s="13" t="s">
        <v>38</v>
      </c>
      <c r="F419" s="14">
        <v>0.020185185185185184</v>
      </c>
      <c r="G419" s="21"/>
    </row>
    <row r="420">
      <c r="A420" s="4" t="s">
        <v>397</v>
      </c>
      <c r="B420" s="10">
        <v>2884261.0</v>
      </c>
      <c r="C420" s="16" t="s">
        <v>416</v>
      </c>
      <c r="D420" s="12" t="s">
        <v>26</v>
      </c>
      <c r="E420" s="13" t="s">
        <v>38</v>
      </c>
      <c r="F420" s="14">
        <v>0.013518518518518518</v>
      </c>
      <c r="G420" s="21"/>
    </row>
    <row r="421">
      <c r="A421" s="4" t="s">
        <v>397</v>
      </c>
      <c r="B421" s="10">
        <v>2884262.0</v>
      </c>
      <c r="C421" s="16" t="s">
        <v>417</v>
      </c>
      <c r="D421" s="12" t="s">
        <v>26</v>
      </c>
      <c r="E421" s="13" t="s">
        <v>38</v>
      </c>
      <c r="F421" s="14">
        <v>0.018206018518518517</v>
      </c>
      <c r="G421" s="21"/>
    </row>
    <row r="422">
      <c r="A422" s="4" t="s">
        <v>397</v>
      </c>
      <c r="B422" s="10">
        <v>2882168.0</v>
      </c>
      <c r="C422" s="16" t="s">
        <v>345</v>
      </c>
      <c r="D422" s="12" t="s">
        <v>26</v>
      </c>
      <c r="E422" s="13" t="s">
        <v>38</v>
      </c>
      <c r="F422" s="14">
        <v>0.030949074074074073</v>
      </c>
      <c r="G422" s="21"/>
    </row>
    <row r="423">
      <c r="A423" s="4" t="s">
        <v>397</v>
      </c>
      <c r="B423" s="10">
        <v>2815033.0</v>
      </c>
      <c r="C423" s="16" t="s">
        <v>418</v>
      </c>
      <c r="D423" s="12" t="s">
        <v>26</v>
      </c>
      <c r="E423" s="13" t="s">
        <v>19</v>
      </c>
      <c r="F423" s="14">
        <v>0.05185185185185185</v>
      </c>
      <c r="G423" s="21"/>
    </row>
    <row r="424">
      <c r="A424" s="4" t="s">
        <v>397</v>
      </c>
      <c r="B424" s="10">
        <v>423244.0</v>
      </c>
      <c r="C424" s="16" t="s">
        <v>419</v>
      </c>
      <c r="D424" s="12" t="s">
        <v>26</v>
      </c>
      <c r="E424" s="13" t="s">
        <v>26</v>
      </c>
      <c r="F424" s="14">
        <v>0.04097222222222222</v>
      </c>
      <c r="G424" s="21"/>
    </row>
    <row r="425">
      <c r="A425" s="4" t="s">
        <v>397</v>
      </c>
      <c r="B425" s="10">
        <v>746303.0</v>
      </c>
      <c r="C425" s="16" t="s">
        <v>420</v>
      </c>
      <c r="D425" s="12" t="s">
        <v>26</v>
      </c>
      <c r="E425" s="13" t="s">
        <v>26</v>
      </c>
      <c r="F425" s="14">
        <v>0.04663194444444444</v>
      </c>
      <c r="G425" s="21"/>
    </row>
    <row r="426">
      <c r="A426" s="4" t="s">
        <v>397</v>
      </c>
      <c r="B426" s="10">
        <v>180863.0</v>
      </c>
      <c r="C426" s="16" t="s">
        <v>421</v>
      </c>
      <c r="D426" s="12" t="s">
        <v>26</v>
      </c>
      <c r="E426" s="13" t="s">
        <v>26</v>
      </c>
      <c r="F426" s="14">
        <v>0.03239583333333333</v>
      </c>
      <c r="G426" s="21"/>
    </row>
    <row r="427">
      <c r="A427" s="4" t="s">
        <v>397</v>
      </c>
      <c r="B427" s="10">
        <v>176760.0</v>
      </c>
      <c r="C427" s="16" t="s">
        <v>278</v>
      </c>
      <c r="D427" s="12" t="s">
        <v>26</v>
      </c>
      <c r="E427" s="13" t="s">
        <v>26</v>
      </c>
      <c r="F427" s="14">
        <v>0.04486111111111111</v>
      </c>
      <c r="G427" s="21"/>
    </row>
    <row r="428">
      <c r="A428" s="4" t="s">
        <v>397</v>
      </c>
      <c r="B428" s="10">
        <v>2832037.0</v>
      </c>
      <c r="C428" s="16" t="s">
        <v>422</v>
      </c>
      <c r="D428" s="12" t="s">
        <v>26</v>
      </c>
      <c r="E428" s="13" t="s">
        <v>26</v>
      </c>
      <c r="F428" s="14">
        <v>0.012650462962962962</v>
      </c>
      <c r="G428" s="21"/>
    </row>
    <row r="429">
      <c r="A429" s="4" t="s">
        <v>397</v>
      </c>
      <c r="B429" s="10">
        <v>2838111.0</v>
      </c>
      <c r="C429" s="16" t="s">
        <v>423</v>
      </c>
      <c r="D429" s="12" t="s">
        <v>26</v>
      </c>
      <c r="E429" s="13" t="s">
        <v>26</v>
      </c>
      <c r="F429" s="14">
        <v>0.02105324074074074</v>
      </c>
      <c r="G429" s="21"/>
    </row>
    <row r="430">
      <c r="A430" s="4" t="s">
        <v>397</v>
      </c>
      <c r="B430" s="10">
        <v>2819030.0</v>
      </c>
      <c r="C430" s="16" t="s">
        <v>424</v>
      </c>
      <c r="D430" s="12" t="s">
        <v>26</v>
      </c>
      <c r="E430" s="13" t="s">
        <v>26</v>
      </c>
      <c r="F430" s="14">
        <v>0.014351851851851852</v>
      </c>
      <c r="G430" s="21"/>
    </row>
    <row r="431">
      <c r="A431" s="4" t="s">
        <v>397</v>
      </c>
      <c r="B431" s="10">
        <v>2878126.0</v>
      </c>
      <c r="C431" s="16" t="s">
        <v>383</v>
      </c>
      <c r="D431" s="12" t="s">
        <v>26</v>
      </c>
      <c r="E431" s="13" t="s">
        <v>26</v>
      </c>
      <c r="F431" s="14">
        <v>0.016689814814814814</v>
      </c>
      <c r="G431" s="21"/>
    </row>
    <row r="432">
      <c r="A432" s="4" t="s">
        <v>397</v>
      </c>
      <c r="B432" s="10">
        <v>2823547.0</v>
      </c>
      <c r="C432" s="16" t="s">
        <v>425</v>
      </c>
      <c r="D432" s="12" t="s">
        <v>26</v>
      </c>
      <c r="E432" s="13" t="s">
        <v>15</v>
      </c>
      <c r="F432" s="14">
        <v>0.018912037037037036</v>
      </c>
      <c r="G432" s="21"/>
    </row>
    <row r="433">
      <c r="A433" s="4" t="s">
        <v>426</v>
      </c>
      <c r="B433" s="5" t="s">
        <v>8</v>
      </c>
      <c r="C433" s="6" t="s">
        <v>9</v>
      </c>
      <c r="D433" s="7" t="s">
        <v>3</v>
      </c>
      <c r="E433" s="7" t="s">
        <v>10</v>
      </c>
      <c r="F433" s="8" t="s">
        <v>11</v>
      </c>
      <c r="G433" s="9" t="s">
        <v>12</v>
      </c>
    </row>
    <row r="434">
      <c r="A434" s="4" t="s">
        <v>426</v>
      </c>
      <c r="B434" s="10">
        <v>2801190.0</v>
      </c>
      <c r="C434" s="16" t="s">
        <v>427</v>
      </c>
      <c r="D434" s="12" t="s">
        <v>14</v>
      </c>
      <c r="E434" s="13" t="s">
        <v>109</v>
      </c>
      <c r="F434" s="14">
        <v>0.03284722222222222</v>
      </c>
      <c r="G434" s="15" t="s">
        <v>428</v>
      </c>
    </row>
    <row r="435">
      <c r="A435" s="4" t="s">
        <v>426</v>
      </c>
      <c r="B435" s="10">
        <v>693111.0</v>
      </c>
      <c r="C435" s="16" t="s">
        <v>161</v>
      </c>
      <c r="D435" s="12" t="s">
        <v>14</v>
      </c>
      <c r="E435" s="13" t="s">
        <v>109</v>
      </c>
      <c r="F435" s="14">
        <v>0.04199074074074074</v>
      </c>
      <c r="G435" s="15" t="s">
        <v>429</v>
      </c>
    </row>
    <row r="436">
      <c r="A436" s="4" t="s">
        <v>426</v>
      </c>
      <c r="B436" s="10">
        <v>740417.0</v>
      </c>
      <c r="C436" s="16" t="s">
        <v>430</v>
      </c>
      <c r="D436" s="12" t="s">
        <v>14</v>
      </c>
      <c r="E436" s="13" t="s">
        <v>38</v>
      </c>
      <c r="F436" s="14">
        <v>0.030462962962962963</v>
      </c>
      <c r="G436" s="15" t="s">
        <v>431</v>
      </c>
    </row>
    <row r="437">
      <c r="A437" s="4" t="s">
        <v>426</v>
      </c>
      <c r="B437" s="10">
        <v>5015866.0</v>
      </c>
      <c r="C437" s="16" t="s">
        <v>432</v>
      </c>
      <c r="D437" s="12" t="s">
        <v>18</v>
      </c>
      <c r="E437" s="13" t="s">
        <v>15</v>
      </c>
      <c r="F437" s="14">
        <v>0.016747685185185185</v>
      </c>
      <c r="G437" s="15" t="s">
        <v>433</v>
      </c>
    </row>
    <row r="438">
      <c r="A438" s="4" t="s">
        <v>426</v>
      </c>
      <c r="B438" s="10">
        <v>2875267.0</v>
      </c>
      <c r="C438" s="16" t="s">
        <v>434</v>
      </c>
      <c r="D438" s="12" t="s">
        <v>18</v>
      </c>
      <c r="E438" s="13" t="s">
        <v>109</v>
      </c>
      <c r="F438" s="14">
        <v>0.03125</v>
      </c>
      <c r="G438" s="15" t="s">
        <v>435</v>
      </c>
    </row>
    <row r="439">
      <c r="A439" s="4" t="s">
        <v>426</v>
      </c>
      <c r="B439" s="10">
        <v>447322.0</v>
      </c>
      <c r="C439" s="16" t="s">
        <v>436</v>
      </c>
      <c r="D439" s="12" t="s">
        <v>34</v>
      </c>
      <c r="E439" s="13" t="s">
        <v>15</v>
      </c>
      <c r="F439" s="14">
        <v>0.032789351851851854</v>
      </c>
      <c r="G439" s="15" t="s">
        <v>437</v>
      </c>
    </row>
    <row r="440">
      <c r="A440" s="4" t="s">
        <v>426</v>
      </c>
      <c r="B440" s="10">
        <v>2838174.0</v>
      </c>
      <c r="C440" s="16" t="s">
        <v>438</v>
      </c>
      <c r="D440" s="12" t="s">
        <v>31</v>
      </c>
      <c r="E440" s="13" t="s">
        <v>109</v>
      </c>
      <c r="F440" s="14">
        <v>0.048796296296296296</v>
      </c>
      <c r="G440" s="15" t="s">
        <v>439</v>
      </c>
    </row>
    <row r="441">
      <c r="A441" s="4" t="s">
        <v>426</v>
      </c>
      <c r="B441" s="10">
        <v>2878185.0</v>
      </c>
      <c r="C441" s="16" t="s">
        <v>440</v>
      </c>
      <c r="D441" s="12" t="s">
        <v>31</v>
      </c>
      <c r="E441" s="13" t="s">
        <v>38</v>
      </c>
      <c r="F441" s="14">
        <v>0.035208333333333335</v>
      </c>
      <c r="G441" s="15" t="s">
        <v>441</v>
      </c>
    </row>
    <row r="442">
      <c r="A442" s="4" t="s">
        <v>426</v>
      </c>
      <c r="B442" s="10">
        <v>3129485.0</v>
      </c>
      <c r="C442" s="16" t="s">
        <v>442</v>
      </c>
      <c r="D442" s="12" t="s">
        <v>31</v>
      </c>
      <c r="E442" s="13" t="s">
        <v>38</v>
      </c>
      <c r="F442" s="14">
        <v>0.038287037037037036</v>
      </c>
      <c r="G442" s="15" t="s">
        <v>443</v>
      </c>
    </row>
    <row r="443">
      <c r="A443" s="4" t="s">
        <v>426</v>
      </c>
      <c r="B443" s="10">
        <v>2841521.0</v>
      </c>
      <c r="C443" s="16" t="s">
        <v>444</v>
      </c>
      <c r="D443" s="12" t="s">
        <v>31</v>
      </c>
      <c r="E443" s="13" t="s">
        <v>38</v>
      </c>
      <c r="F443" s="14">
        <v>0.030659722222222224</v>
      </c>
      <c r="G443" s="15" t="s">
        <v>445</v>
      </c>
    </row>
    <row r="444">
      <c r="A444" s="4" t="s">
        <v>426</v>
      </c>
      <c r="B444" s="10">
        <v>2876205.0</v>
      </c>
      <c r="C444" s="16" t="s">
        <v>446</v>
      </c>
      <c r="D444" s="12" t="s">
        <v>31</v>
      </c>
      <c r="E444" s="13" t="s">
        <v>38</v>
      </c>
      <c r="F444" s="14">
        <v>0.07128472222222222</v>
      </c>
      <c r="G444" s="15" t="s">
        <v>447</v>
      </c>
    </row>
    <row r="445">
      <c r="A445" s="4" t="s">
        <v>426</v>
      </c>
      <c r="B445" s="10">
        <v>2888051.0</v>
      </c>
      <c r="C445" s="16" t="s">
        <v>324</v>
      </c>
      <c r="D445" s="12" t="s">
        <v>31</v>
      </c>
      <c r="E445" s="13" t="s">
        <v>38</v>
      </c>
      <c r="F445" s="14">
        <v>0.03530092592592592</v>
      </c>
      <c r="G445" s="15" t="s">
        <v>448</v>
      </c>
    </row>
    <row r="446">
      <c r="A446" s="4" t="s">
        <v>426</v>
      </c>
      <c r="B446" s="10">
        <v>2873285.0</v>
      </c>
      <c r="C446" s="16" t="s">
        <v>449</v>
      </c>
      <c r="D446" s="12" t="s">
        <v>31</v>
      </c>
      <c r="E446" s="13" t="s">
        <v>15</v>
      </c>
      <c r="F446" s="14">
        <v>0.06131944444444445</v>
      </c>
      <c r="G446" s="15" t="s">
        <v>450</v>
      </c>
    </row>
    <row r="447">
      <c r="A447" s="4" t="s">
        <v>426</v>
      </c>
      <c r="B447" s="10">
        <v>2875326.0</v>
      </c>
      <c r="C447" s="16" t="s">
        <v>451</v>
      </c>
      <c r="D447" s="12" t="s">
        <v>31</v>
      </c>
      <c r="E447" s="13" t="s">
        <v>15</v>
      </c>
      <c r="F447" s="14">
        <v>0.04087962962962963</v>
      </c>
      <c r="G447" s="15" t="s">
        <v>452</v>
      </c>
    </row>
    <row r="448">
      <c r="A448" s="4" t="s">
        <v>426</v>
      </c>
      <c r="B448" s="10">
        <v>624312.0</v>
      </c>
      <c r="C448" s="16" t="s">
        <v>453</v>
      </c>
      <c r="D448" s="12" t="s">
        <v>26</v>
      </c>
      <c r="E448" s="13" t="s">
        <v>109</v>
      </c>
      <c r="F448" s="14">
        <v>0.0965162037037037</v>
      </c>
      <c r="G448" s="15" t="s">
        <v>454</v>
      </c>
    </row>
    <row r="449">
      <c r="A449" s="4" t="s">
        <v>426</v>
      </c>
      <c r="B449" s="10">
        <v>2807866.0</v>
      </c>
      <c r="C449" s="16" t="s">
        <v>455</v>
      </c>
      <c r="D449" s="12" t="s">
        <v>26</v>
      </c>
      <c r="E449" s="13" t="s">
        <v>109</v>
      </c>
      <c r="F449" s="14">
        <v>0.04978009259259259</v>
      </c>
      <c r="G449" s="21"/>
    </row>
    <row r="450">
      <c r="A450" s="4" t="s">
        <v>426</v>
      </c>
      <c r="B450" s="10">
        <v>5038215.0</v>
      </c>
      <c r="C450" s="16" t="s">
        <v>456</v>
      </c>
      <c r="D450" s="12" t="s">
        <v>26</v>
      </c>
      <c r="E450" s="13" t="s">
        <v>109</v>
      </c>
      <c r="F450" s="14">
        <v>0.028194444444444446</v>
      </c>
      <c r="G450" s="21"/>
    </row>
    <row r="451">
      <c r="A451" s="4" t="s">
        <v>426</v>
      </c>
      <c r="B451" s="10">
        <v>2814043.0</v>
      </c>
      <c r="C451" s="16" t="s">
        <v>457</v>
      </c>
      <c r="D451" s="12" t="s">
        <v>26</v>
      </c>
      <c r="E451" s="13" t="s">
        <v>109</v>
      </c>
      <c r="F451" s="14">
        <v>0.019016203703703705</v>
      </c>
      <c r="G451" s="21"/>
    </row>
    <row r="452">
      <c r="A452" s="4" t="s">
        <v>426</v>
      </c>
      <c r="B452" s="10">
        <v>2817028.0</v>
      </c>
      <c r="C452" s="16" t="s">
        <v>458</v>
      </c>
      <c r="D452" s="12" t="s">
        <v>26</v>
      </c>
      <c r="E452" s="13" t="s">
        <v>109</v>
      </c>
      <c r="F452" s="14">
        <v>0.062060185185185184</v>
      </c>
      <c r="G452" s="21"/>
    </row>
    <row r="453">
      <c r="A453" s="4" t="s">
        <v>426</v>
      </c>
      <c r="B453" s="10">
        <v>2823074.0</v>
      </c>
      <c r="C453" s="16" t="s">
        <v>459</v>
      </c>
      <c r="D453" s="12" t="s">
        <v>26</v>
      </c>
      <c r="E453" s="13" t="s">
        <v>109</v>
      </c>
      <c r="F453" s="14">
        <v>0.05369212962962963</v>
      </c>
      <c r="G453" s="21"/>
    </row>
    <row r="454">
      <c r="A454" s="4" t="s">
        <v>426</v>
      </c>
      <c r="B454" s="10">
        <v>2823517.0</v>
      </c>
      <c r="C454" s="16" t="s">
        <v>460</v>
      </c>
      <c r="D454" s="12" t="s">
        <v>26</v>
      </c>
      <c r="E454" s="13" t="s">
        <v>109</v>
      </c>
      <c r="F454" s="14">
        <v>0.0627199074074074</v>
      </c>
      <c r="G454" s="21"/>
    </row>
    <row r="455">
      <c r="A455" s="4" t="s">
        <v>426</v>
      </c>
      <c r="B455" s="10">
        <v>2824363.0</v>
      </c>
      <c r="C455" s="16" t="s">
        <v>461</v>
      </c>
      <c r="D455" s="12" t="s">
        <v>26</v>
      </c>
      <c r="E455" s="13" t="s">
        <v>109</v>
      </c>
      <c r="F455" s="14">
        <v>0.05032407407407408</v>
      </c>
      <c r="G455" s="21"/>
    </row>
    <row r="456">
      <c r="A456" s="4" t="s">
        <v>426</v>
      </c>
      <c r="B456" s="10">
        <v>2882047.0</v>
      </c>
      <c r="C456" s="16" t="s">
        <v>462</v>
      </c>
      <c r="D456" s="12" t="s">
        <v>26</v>
      </c>
      <c r="E456" s="13" t="s">
        <v>109</v>
      </c>
      <c r="F456" s="14">
        <v>0.06613425925925925</v>
      </c>
      <c r="G456" s="21"/>
    </row>
    <row r="457">
      <c r="A457" s="4" t="s">
        <v>426</v>
      </c>
      <c r="B457" s="10">
        <v>737794.0</v>
      </c>
      <c r="C457" s="16" t="s">
        <v>463</v>
      </c>
      <c r="D457" s="12" t="s">
        <v>26</v>
      </c>
      <c r="E457" s="13" t="s">
        <v>38</v>
      </c>
      <c r="F457" s="14">
        <v>0.10739583333333333</v>
      </c>
      <c r="G457" s="31"/>
    </row>
    <row r="458">
      <c r="A458" s="4" t="s">
        <v>426</v>
      </c>
      <c r="B458" s="10">
        <v>5010662.0</v>
      </c>
      <c r="C458" s="16" t="s">
        <v>464</v>
      </c>
      <c r="D458" s="12" t="s">
        <v>26</v>
      </c>
      <c r="E458" s="13" t="s">
        <v>38</v>
      </c>
      <c r="F458" s="14">
        <v>0.06704861111111111</v>
      </c>
      <c r="G458" s="31"/>
    </row>
    <row r="459">
      <c r="A459" s="4" t="s">
        <v>426</v>
      </c>
      <c r="B459" s="10">
        <v>601813.0</v>
      </c>
      <c r="C459" s="16" t="s">
        <v>465</v>
      </c>
      <c r="D459" s="12" t="s">
        <v>26</v>
      </c>
      <c r="E459" s="13" t="s">
        <v>38</v>
      </c>
      <c r="F459" s="14">
        <v>0.03960648148148148</v>
      </c>
      <c r="G459" s="31"/>
    </row>
    <row r="460">
      <c r="A460" s="4" t="s">
        <v>426</v>
      </c>
      <c r="B460" s="10">
        <v>2808539.0</v>
      </c>
      <c r="C460" s="16" t="s">
        <v>466</v>
      </c>
      <c r="D460" s="12" t="s">
        <v>26</v>
      </c>
      <c r="E460" s="13" t="s">
        <v>38</v>
      </c>
      <c r="F460" s="14">
        <v>0.048449074074074075</v>
      </c>
      <c r="G460" s="31"/>
    </row>
    <row r="461">
      <c r="A461" s="4" t="s">
        <v>426</v>
      </c>
      <c r="B461" s="10">
        <v>737795.0</v>
      </c>
      <c r="C461" s="16" t="s">
        <v>467</v>
      </c>
      <c r="D461" s="12" t="s">
        <v>26</v>
      </c>
      <c r="E461" s="13" t="s">
        <v>38</v>
      </c>
      <c r="F461" s="14">
        <v>0.10741898148148148</v>
      </c>
      <c r="G461" s="31"/>
    </row>
    <row r="462">
      <c r="A462" s="4" t="s">
        <v>426</v>
      </c>
      <c r="B462" s="10">
        <v>672872.0</v>
      </c>
      <c r="C462" s="16" t="s">
        <v>468</v>
      </c>
      <c r="D462" s="12" t="s">
        <v>26</v>
      </c>
      <c r="E462" s="13" t="s">
        <v>38</v>
      </c>
      <c r="F462" s="14">
        <v>0.019247685185185184</v>
      </c>
      <c r="G462" s="21"/>
    </row>
    <row r="463">
      <c r="A463" s="4" t="s">
        <v>426</v>
      </c>
      <c r="B463" s="10">
        <v>2211320.0</v>
      </c>
      <c r="C463" s="16" t="s">
        <v>469</v>
      </c>
      <c r="D463" s="12" t="s">
        <v>26</v>
      </c>
      <c r="E463" s="13" t="s">
        <v>38</v>
      </c>
      <c r="F463" s="14">
        <v>0.03725694444444445</v>
      </c>
      <c r="G463" s="21"/>
    </row>
    <row r="464">
      <c r="A464" s="4" t="s">
        <v>426</v>
      </c>
      <c r="B464" s="10">
        <v>2213242.0</v>
      </c>
      <c r="C464" s="16" t="s">
        <v>470</v>
      </c>
      <c r="D464" s="12" t="s">
        <v>26</v>
      </c>
      <c r="E464" s="13" t="s">
        <v>38</v>
      </c>
      <c r="F464" s="14">
        <v>0.029652777777777778</v>
      </c>
      <c r="G464" s="21"/>
    </row>
    <row r="465">
      <c r="A465" s="4" t="s">
        <v>426</v>
      </c>
      <c r="B465" s="10">
        <v>2810407.0</v>
      </c>
      <c r="C465" s="16" t="s">
        <v>471</v>
      </c>
      <c r="D465" s="12" t="s">
        <v>26</v>
      </c>
      <c r="E465" s="13" t="s">
        <v>38</v>
      </c>
      <c r="F465" s="14">
        <v>0.043506944444444445</v>
      </c>
      <c r="G465" s="21"/>
    </row>
    <row r="466">
      <c r="A466" s="4" t="s">
        <v>426</v>
      </c>
      <c r="B466" s="10">
        <v>2815150.0</v>
      </c>
      <c r="C466" s="16" t="s">
        <v>472</v>
      </c>
      <c r="D466" s="12" t="s">
        <v>26</v>
      </c>
      <c r="E466" s="13" t="s">
        <v>38</v>
      </c>
      <c r="F466" s="14">
        <v>0.01734953703703704</v>
      </c>
      <c r="G466" s="21"/>
    </row>
    <row r="467">
      <c r="A467" s="4" t="s">
        <v>426</v>
      </c>
      <c r="B467" s="10">
        <v>2816003.0</v>
      </c>
      <c r="C467" s="16" t="s">
        <v>473</v>
      </c>
      <c r="D467" s="12" t="s">
        <v>26</v>
      </c>
      <c r="E467" s="13" t="s">
        <v>38</v>
      </c>
      <c r="F467" s="14">
        <v>0.022743055555555555</v>
      </c>
      <c r="G467" s="21"/>
    </row>
    <row r="468">
      <c r="A468" s="4" t="s">
        <v>426</v>
      </c>
      <c r="B468" s="10">
        <v>5035823.0</v>
      </c>
      <c r="C468" s="16" t="s">
        <v>474</v>
      </c>
      <c r="D468" s="12" t="s">
        <v>26</v>
      </c>
      <c r="E468" s="13" t="s">
        <v>38</v>
      </c>
      <c r="F468" s="14">
        <v>0.04020833333333333</v>
      </c>
      <c r="G468" s="21"/>
    </row>
    <row r="469">
      <c r="A469" s="4" t="s">
        <v>426</v>
      </c>
      <c r="B469" s="10">
        <v>5038216.0</v>
      </c>
      <c r="C469" s="16" t="s">
        <v>475</v>
      </c>
      <c r="D469" s="12" t="s">
        <v>26</v>
      </c>
      <c r="E469" s="13" t="s">
        <v>38</v>
      </c>
      <c r="F469" s="14">
        <v>0.029722222222222223</v>
      </c>
      <c r="G469" s="21"/>
    </row>
    <row r="470">
      <c r="A470" s="4" t="s">
        <v>426</v>
      </c>
      <c r="B470" s="10">
        <v>2813226.0</v>
      </c>
      <c r="C470" s="16" t="s">
        <v>476</v>
      </c>
      <c r="D470" s="12" t="s">
        <v>26</v>
      </c>
      <c r="E470" s="13" t="s">
        <v>38</v>
      </c>
      <c r="F470" s="14">
        <v>0.032928240740740744</v>
      </c>
      <c r="G470" s="21"/>
    </row>
    <row r="471">
      <c r="A471" s="4" t="s">
        <v>426</v>
      </c>
      <c r="B471" s="10">
        <v>2814166.0</v>
      </c>
      <c r="C471" s="16" t="s">
        <v>477</v>
      </c>
      <c r="D471" s="12" t="s">
        <v>26</v>
      </c>
      <c r="E471" s="13" t="s">
        <v>38</v>
      </c>
      <c r="F471" s="14">
        <v>0.029583333333333333</v>
      </c>
      <c r="G471" s="21"/>
    </row>
    <row r="472">
      <c r="A472" s="4" t="s">
        <v>426</v>
      </c>
      <c r="B472" s="10">
        <v>2815022.0</v>
      </c>
      <c r="C472" s="16" t="s">
        <v>478</v>
      </c>
      <c r="D472" s="12" t="s">
        <v>26</v>
      </c>
      <c r="E472" s="13" t="s">
        <v>38</v>
      </c>
      <c r="F472" s="14">
        <v>0.037731481481481484</v>
      </c>
      <c r="G472" s="21"/>
    </row>
    <row r="473">
      <c r="A473" s="4" t="s">
        <v>426</v>
      </c>
      <c r="B473" s="10">
        <v>2817190.0</v>
      </c>
      <c r="C473" s="16" t="s">
        <v>479</v>
      </c>
      <c r="D473" s="12" t="s">
        <v>26</v>
      </c>
      <c r="E473" s="13" t="s">
        <v>38</v>
      </c>
      <c r="F473" s="14">
        <v>0.034027777777777775</v>
      </c>
      <c r="G473" s="21"/>
    </row>
    <row r="474">
      <c r="A474" s="4" t="s">
        <v>426</v>
      </c>
      <c r="B474" s="10">
        <v>2820163.0</v>
      </c>
      <c r="C474" s="16" t="s">
        <v>480</v>
      </c>
      <c r="D474" s="12" t="s">
        <v>26</v>
      </c>
      <c r="E474" s="13" t="s">
        <v>38</v>
      </c>
      <c r="F474" s="14">
        <v>0.034837962962962966</v>
      </c>
      <c r="G474" s="21"/>
    </row>
    <row r="475">
      <c r="A475" s="4" t="s">
        <v>426</v>
      </c>
      <c r="B475" s="10">
        <v>2822025.0</v>
      </c>
      <c r="C475" s="16" t="s">
        <v>481</v>
      </c>
      <c r="D475" s="12" t="s">
        <v>26</v>
      </c>
      <c r="E475" s="13" t="s">
        <v>38</v>
      </c>
      <c r="F475" s="14">
        <v>0.08716435185185185</v>
      </c>
      <c r="G475" s="21"/>
    </row>
    <row r="476">
      <c r="A476" s="4" t="s">
        <v>426</v>
      </c>
      <c r="B476" s="10">
        <v>2823142.0</v>
      </c>
      <c r="C476" s="16" t="s">
        <v>482</v>
      </c>
      <c r="D476" s="12" t="s">
        <v>26</v>
      </c>
      <c r="E476" s="13" t="s">
        <v>38</v>
      </c>
      <c r="F476" s="14">
        <v>0.03701388888888889</v>
      </c>
      <c r="G476" s="21"/>
    </row>
    <row r="477">
      <c r="A477" s="4" t="s">
        <v>426</v>
      </c>
      <c r="B477" s="10">
        <v>2825028.0</v>
      </c>
      <c r="C477" s="16" t="s">
        <v>483</v>
      </c>
      <c r="D477" s="12" t="s">
        <v>26</v>
      </c>
      <c r="E477" s="13" t="s">
        <v>38</v>
      </c>
      <c r="F477" s="14">
        <v>0.04672453703703704</v>
      </c>
      <c r="G477" s="21"/>
    </row>
    <row r="478">
      <c r="A478" s="4" t="s">
        <v>426</v>
      </c>
      <c r="B478" s="10">
        <v>2825058.0</v>
      </c>
      <c r="C478" s="16" t="s">
        <v>484</v>
      </c>
      <c r="D478" s="12" t="s">
        <v>26</v>
      </c>
      <c r="E478" s="13" t="s">
        <v>38</v>
      </c>
      <c r="F478" s="14">
        <v>0.06077546296296296</v>
      </c>
      <c r="G478" s="21"/>
    </row>
    <row r="479">
      <c r="A479" s="4" t="s">
        <v>426</v>
      </c>
      <c r="B479" s="10">
        <v>2825133.0</v>
      </c>
      <c r="C479" s="16" t="s">
        <v>485</v>
      </c>
      <c r="D479" s="12" t="s">
        <v>26</v>
      </c>
      <c r="E479" s="13" t="s">
        <v>38</v>
      </c>
      <c r="F479" s="14">
        <v>0.03643518518518519</v>
      </c>
      <c r="G479" s="21"/>
    </row>
    <row r="480">
      <c r="A480" s="4" t="s">
        <v>426</v>
      </c>
      <c r="B480" s="10">
        <v>2825441.0</v>
      </c>
      <c r="C480" s="16" t="s">
        <v>486</v>
      </c>
      <c r="D480" s="12" t="s">
        <v>26</v>
      </c>
      <c r="E480" s="13" t="s">
        <v>38</v>
      </c>
      <c r="F480" s="14">
        <v>0.03670138888888889</v>
      </c>
      <c r="G480" s="21"/>
    </row>
    <row r="481">
      <c r="A481" s="4" t="s">
        <v>426</v>
      </c>
      <c r="B481" s="10">
        <v>5038214.0</v>
      </c>
      <c r="C481" s="16" t="s">
        <v>487</v>
      </c>
      <c r="D481" s="12" t="s">
        <v>26</v>
      </c>
      <c r="E481" s="13" t="s">
        <v>38</v>
      </c>
      <c r="F481" s="14">
        <v>0.02003472222222222</v>
      </c>
      <c r="G481" s="21"/>
    </row>
    <row r="482">
      <c r="A482" s="4" t="s">
        <v>426</v>
      </c>
      <c r="B482" s="10">
        <v>2822427.0</v>
      </c>
      <c r="C482" s="16" t="s">
        <v>488</v>
      </c>
      <c r="D482" s="12" t="s">
        <v>26</v>
      </c>
      <c r="E482" s="13" t="s">
        <v>38</v>
      </c>
      <c r="F482" s="14">
        <v>0.07762731481481482</v>
      </c>
      <c r="G482" s="21"/>
    </row>
    <row r="483">
      <c r="A483" s="4" t="s">
        <v>426</v>
      </c>
      <c r="B483" s="10">
        <v>2822636.0</v>
      </c>
      <c r="C483" s="16" t="s">
        <v>489</v>
      </c>
      <c r="D483" s="12" t="s">
        <v>26</v>
      </c>
      <c r="E483" s="13" t="s">
        <v>38</v>
      </c>
      <c r="F483" s="14">
        <v>0.04010416666666667</v>
      </c>
      <c r="G483" s="21"/>
    </row>
    <row r="484">
      <c r="A484" s="4" t="s">
        <v>426</v>
      </c>
      <c r="B484" s="10">
        <v>2823516.0</v>
      </c>
      <c r="C484" s="16" t="s">
        <v>490</v>
      </c>
      <c r="D484" s="12" t="s">
        <v>26</v>
      </c>
      <c r="E484" s="13" t="s">
        <v>38</v>
      </c>
      <c r="F484" s="14">
        <v>0.07594907407407407</v>
      </c>
      <c r="G484" s="21"/>
    </row>
    <row r="485">
      <c r="A485" s="4" t="s">
        <v>426</v>
      </c>
      <c r="B485" s="10">
        <v>2822476.0</v>
      </c>
      <c r="C485" s="16" t="s">
        <v>491</v>
      </c>
      <c r="D485" s="12" t="s">
        <v>26</v>
      </c>
      <c r="E485" s="13" t="s">
        <v>38</v>
      </c>
      <c r="F485" s="14">
        <v>0.04230324074074074</v>
      </c>
      <c r="G485" s="21"/>
    </row>
    <row r="486">
      <c r="A486" s="4" t="s">
        <v>426</v>
      </c>
      <c r="B486" s="10">
        <v>2823493.0</v>
      </c>
      <c r="C486" s="16" t="s">
        <v>492</v>
      </c>
      <c r="D486" s="12" t="s">
        <v>26</v>
      </c>
      <c r="E486" s="13" t="s">
        <v>38</v>
      </c>
      <c r="F486" s="14">
        <v>0.023055555555555555</v>
      </c>
      <c r="G486" s="21"/>
    </row>
    <row r="487">
      <c r="A487" s="4" t="s">
        <v>426</v>
      </c>
      <c r="B487" s="10">
        <v>2824266.0</v>
      </c>
      <c r="C487" s="16" t="s">
        <v>493</v>
      </c>
      <c r="D487" s="12" t="s">
        <v>26</v>
      </c>
      <c r="E487" s="13" t="s">
        <v>38</v>
      </c>
      <c r="F487" s="14">
        <v>0.07653935185185186</v>
      </c>
      <c r="G487" s="21"/>
    </row>
    <row r="488">
      <c r="A488" s="4" t="s">
        <v>426</v>
      </c>
      <c r="B488" s="10">
        <v>2824270.0</v>
      </c>
      <c r="C488" s="16" t="s">
        <v>494</v>
      </c>
      <c r="D488" s="12" t="s">
        <v>26</v>
      </c>
      <c r="E488" s="13" t="s">
        <v>38</v>
      </c>
      <c r="F488" s="14">
        <v>0.02912037037037037</v>
      </c>
      <c r="G488" s="21"/>
    </row>
    <row r="489">
      <c r="A489" s="4" t="s">
        <v>426</v>
      </c>
      <c r="B489" s="10">
        <v>2825620.0</v>
      </c>
      <c r="C489" s="16" t="s">
        <v>495</v>
      </c>
      <c r="D489" s="12" t="s">
        <v>26</v>
      </c>
      <c r="E489" s="13" t="s">
        <v>38</v>
      </c>
      <c r="F489" s="14">
        <v>0.0240625</v>
      </c>
      <c r="G489" s="21"/>
    </row>
    <row r="490">
      <c r="A490" s="4" t="s">
        <v>426</v>
      </c>
      <c r="B490" s="10">
        <v>2823572.0</v>
      </c>
      <c r="C490" s="16" t="s">
        <v>496</v>
      </c>
      <c r="D490" s="12" t="s">
        <v>26</v>
      </c>
      <c r="E490" s="13" t="s">
        <v>38</v>
      </c>
      <c r="F490" s="14">
        <v>0.036284722222222225</v>
      </c>
      <c r="G490" s="21"/>
    </row>
    <row r="491">
      <c r="A491" s="4" t="s">
        <v>426</v>
      </c>
      <c r="B491" s="10">
        <v>2822696.0</v>
      </c>
      <c r="C491" s="16" t="s">
        <v>497</v>
      </c>
      <c r="D491" s="12" t="s">
        <v>26</v>
      </c>
      <c r="E491" s="13" t="s">
        <v>38</v>
      </c>
      <c r="F491" s="14">
        <v>0.05475694444444444</v>
      </c>
      <c r="G491" s="21"/>
    </row>
    <row r="492">
      <c r="A492" s="4" t="s">
        <v>426</v>
      </c>
      <c r="B492" s="10">
        <v>2823594.0</v>
      </c>
      <c r="C492" s="16" t="s">
        <v>498</v>
      </c>
      <c r="D492" s="12" t="s">
        <v>26</v>
      </c>
      <c r="E492" s="13" t="s">
        <v>38</v>
      </c>
      <c r="F492" s="14">
        <v>0.05158564814814815</v>
      </c>
      <c r="G492" s="21"/>
    </row>
    <row r="493">
      <c r="A493" s="4" t="s">
        <v>426</v>
      </c>
      <c r="B493" s="10">
        <v>2825707.0</v>
      </c>
      <c r="C493" s="16" t="s">
        <v>499</v>
      </c>
      <c r="D493" s="12" t="s">
        <v>26</v>
      </c>
      <c r="E493" s="13" t="s">
        <v>38</v>
      </c>
      <c r="F493" s="14">
        <v>0.05939814814814815</v>
      </c>
      <c r="G493" s="21"/>
    </row>
    <row r="494">
      <c r="A494" s="4" t="s">
        <v>426</v>
      </c>
      <c r="B494" s="10">
        <v>2835091.0</v>
      </c>
      <c r="C494" s="16" t="s">
        <v>500</v>
      </c>
      <c r="D494" s="12" t="s">
        <v>26</v>
      </c>
      <c r="E494" s="13" t="s">
        <v>38</v>
      </c>
      <c r="F494" s="14">
        <v>0.041041666666666664</v>
      </c>
      <c r="G494" s="21"/>
    </row>
    <row r="495">
      <c r="A495" s="4" t="s">
        <v>426</v>
      </c>
      <c r="B495" s="10">
        <v>2841308.0</v>
      </c>
      <c r="C495" s="16" t="s">
        <v>501</v>
      </c>
      <c r="D495" s="12" t="s">
        <v>26</v>
      </c>
      <c r="E495" s="13" t="s">
        <v>38</v>
      </c>
      <c r="F495" s="14">
        <v>0.0665162037037037</v>
      </c>
      <c r="G495" s="21"/>
    </row>
    <row r="496">
      <c r="A496" s="4" t="s">
        <v>426</v>
      </c>
      <c r="B496" s="10">
        <v>2871157.0</v>
      </c>
      <c r="C496" s="16" t="s">
        <v>502</v>
      </c>
      <c r="D496" s="12" t="s">
        <v>26</v>
      </c>
      <c r="E496" s="13" t="s">
        <v>38</v>
      </c>
      <c r="F496" s="14">
        <v>0.02375</v>
      </c>
      <c r="G496" s="21"/>
    </row>
    <row r="497">
      <c r="A497" s="4" t="s">
        <v>426</v>
      </c>
      <c r="B497" s="10">
        <v>2832068.0</v>
      </c>
      <c r="C497" s="16" t="s">
        <v>503</v>
      </c>
      <c r="D497" s="12" t="s">
        <v>26</v>
      </c>
      <c r="E497" s="13" t="s">
        <v>38</v>
      </c>
      <c r="F497" s="14">
        <v>0.026226851851851852</v>
      </c>
      <c r="G497" s="21"/>
    </row>
    <row r="498">
      <c r="A498" s="4" t="s">
        <v>426</v>
      </c>
      <c r="B498" s="10">
        <v>2841614.0</v>
      </c>
      <c r="C498" s="16" t="s">
        <v>504</v>
      </c>
      <c r="D498" s="12" t="s">
        <v>26</v>
      </c>
      <c r="E498" s="13" t="s">
        <v>38</v>
      </c>
      <c r="F498" s="14">
        <v>0.03436342592592593</v>
      </c>
      <c r="G498" s="21"/>
    </row>
    <row r="499">
      <c r="A499" s="4" t="s">
        <v>426</v>
      </c>
      <c r="B499" s="10">
        <v>2871077.0</v>
      </c>
      <c r="C499" s="16" t="s">
        <v>505</v>
      </c>
      <c r="D499" s="12" t="s">
        <v>26</v>
      </c>
      <c r="E499" s="13" t="s">
        <v>38</v>
      </c>
      <c r="F499" s="14">
        <v>0.04787037037037037</v>
      </c>
      <c r="G499" s="21"/>
    </row>
    <row r="500">
      <c r="A500" s="4" t="s">
        <v>426</v>
      </c>
      <c r="B500" s="10">
        <v>2282152.0</v>
      </c>
      <c r="C500" s="16" t="s">
        <v>506</v>
      </c>
      <c r="D500" s="12" t="s">
        <v>26</v>
      </c>
      <c r="E500" s="13" t="s">
        <v>38</v>
      </c>
      <c r="F500" s="14">
        <v>0.054224537037037036</v>
      </c>
      <c r="G500" s="21"/>
    </row>
    <row r="501">
      <c r="A501" s="4" t="s">
        <v>426</v>
      </c>
      <c r="B501" s="10">
        <v>2841524.0</v>
      </c>
      <c r="C501" s="16" t="s">
        <v>507</v>
      </c>
      <c r="D501" s="12" t="s">
        <v>26</v>
      </c>
      <c r="E501" s="13" t="s">
        <v>38</v>
      </c>
      <c r="F501" s="14">
        <v>0.20560185185185184</v>
      </c>
      <c r="G501" s="21"/>
    </row>
    <row r="502">
      <c r="A502" s="4" t="s">
        <v>426</v>
      </c>
      <c r="B502" s="10">
        <v>2841621.0</v>
      </c>
      <c r="C502" s="16" t="s">
        <v>508</v>
      </c>
      <c r="D502" s="12" t="s">
        <v>26</v>
      </c>
      <c r="E502" s="13" t="s">
        <v>38</v>
      </c>
      <c r="F502" s="14">
        <v>0.026203703703703705</v>
      </c>
      <c r="G502" s="21"/>
    </row>
    <row r="503">
      <c r="A503" s="4" t="s">
        <v>426</v>
      </c>
      <c r="B503" s="10">
        <v>2871132.0</v>
      </c>
      <c r="C503" s="16" t="s">
        <v>509</v>
      </c>
      <c r="D503" s="12" t="s">
        <v>26</v>
      </c>
      <c r="E503" s="13" t="s">
        <v>38</v>
      </c>
      <c r="F503" s="14">
        <v>0.017627314814814814</v>
      </c>
      <c r="G503" s="21"/>
    </row>
    <row r="504">
      <c r="A504" s="4" t="s">
        <v>426</v>
      </c>
      <c r="B504" s="10">
        <v>2873325.0</v>
      </c>
      <c r="C504" s="16" t="s">
        <v>510</v>
      </c>
      <c r="D504" s="12" t="s">
        <v>26</v>
      </c>
      <c r="E504" s="13" t="s">
        <v>38</v>
      </c>
      <c r="F504" s="14">
        <v>0.03275462962962963</v>
      </c>
      <c r="G504" s="21"/>
    </row>
    <row r="505">
      <c r="A505" s="4" t="s">
        <v>426</v>
      </c>
      <c r="B505" s="10">
        <v>2874334.0</v>
      </c>
      <c r="C505" s="16" t="s">
        <v>511</v>
      </c>
      <c r="D505" s="12" t="s">
        <v>26</v>
      </c>
      <c r="E505" s="13" t="s">
        <v>38</v>
      </c>
      <c r="F505" s="14">
        <v>0.055671296296296295</v>
      </c>
      <c r="G505" s="21"/>
    </row>
    <row r="506">
      <c r="A506" s="4" t="s">
        <v>426</v>
      </c>
      <c r="B506" s="10">
        <v>2875203.0</v>
      </c>
      <c r="C506" s="16" t="s">
        <v>512</v>
      </c>
      <c r="D506" s="12" t="s">
        <v>26</v>
      </c>
      <c r="E506" s="13" t="s">
        <v>38</v>
      </c>
      <c r="F506" s="14">
        <v>0.061875</v>
      </c>
      <c r="G506" s="21"/>
    </row>
    <row r="507">
      <c r="A507" s="4" t="s">
        <v>426</v>
      </c>
      <c r="B507" s="10">
        <v>2884123.0</v>
      </c>
      <c r="C507" s="16" t="s">
        <v>513</v>
      </c>
      <c r="D507" s="12" t="s">
        <v>26</v>
      </c>
      <c r="E507" s="13" t="s">
        <v>38</v>
      </c>
      <c r="F507" s="14">
        <v>0.0478125</v>
      </c>
      <c r="G507" s="21"/>
    </row>
    <row r="508">
      <c r="A508" s="4" t="s">
        <v>426</v>
      </c>
      <c r="B508" s="10">
        <v>2883053.0</v>
      </c>
      <c r="C508" s="16" t="s">
        <v>514</v>
      </c>
      <c r="D508" s="12" t="s">
        <v>26</v>
      </c>
      <c r="E508" s="13" t="s">
        <v>38</v>
      </c>
      <c r="F508" s="14">
        <v>0.02621527777777778</v>
      </c>
      <c r="G508" s="21"/>
    </row>
    <row r="509">
      <c r="A509" s="4" t="s">
        <v>426</v>
      </c>
      <c r="B509" s="10">
        <v>2894046.0</v>
      </c>
      <c r="C509" s="16" t="s">
        <v>515</v>
      </c>
      <c r="D509" s="12" t="s">
        <v>26</v>
      </c>
      <c r="E509" s="13" t="s">
        <v>38</v>
      </c>
      <c r="F509" s="14">
        <v>0.008101851851851851</v>
      </c>
      <c r="G509" s="21"/>
    </row>
    <row r="510">
      <c r="A510" s="4" t="s">
        <v>426</v>
      </c>
      <c r="B510" s="10">
        <v>2886062.0</v>
      </c>
      <c r="C510" s="16" t="s">
        <v>516</v>
      </c>
      <c r="D510" s="12" t="s">
        <v>26</v>
      </c>
      <c r="E510" s="13" t="s">
        <v>38</v>
      </c>
      <c r="F510" s="14">
        <v>0.011967592592592592</v>
      </c>
      <c r="G510" s="21"/>
    </row>
    <row r="511">
      <c r="A511" s="4" t="s">
        <v>426</v>
      </c>
      <c r="B511" s="10">
        <v>2882060.0</v>
      </c>
      <c r="C511" s="16" t="s">
        <v>517</v>
      </c>
      <c r="D511" s="12" t="s">
        <v>26</v>
      </c>
      <c r="E511" s="13" t="s">
        <v>38</v>
      </c>
      <c r="F511" s="14">
        <v>0.022256944444444444</v>
      </c>
      <c r="G511" s="21"/>
    </row>
    <row r="512">
      <c r="A512" s="4" t="s">
        <v>426</v>
      </c>
      <c r="B512" s="10">
        <v>2422613.0</v>
      </c>
      <c r="C512" s="16" t="s">
        <v>518</v>
      </c>
      <c r="D512" s="12" t="s">
        <v>26</v>
      </c>
      <c r="E512" s="13" t="s">
        <v>38</v>
      </c>
      <c r="F512" s="14">
        <v>0.04521990740740741</v>
      </c>
      <c r="G512" s="21"/>
    </row>
    <row r="513">
      <c r="A513" s="4" t="s">
        <v>426</v>
      </c>
      <c r="B513" s="10">
        <v>2425484.0</v>
      </c>
      <c r="C513" s="16" t="s">
        <v>519</v>
      </c>
      <c r="D513" s="12" t="s">
        <v>26</v>
      </c>
      <c r="E513" s="13" t="s">
        <v>38</v>
      </c>
      <c r="F513" s="14">
        <v>0.05431712962962963</v>
      </c>
      <c r="G513" s="21"/>
    </row>
    <row r="514">
      <c r="A514" s="4" t="s">
        <v>426</v>
      </c>
      <c r="B514" s="10">
        <v>2884067.0</v>
      </c>
      <c r="C514" s="16" t="s">
        <v>520</v>
      </c>
      <c r="D514" s="12" t="s">
        <v>26</v>
      </c>
      <c r="E514" s="13" t="s">
        <v>38</v>
      </c>
      <c r="F514" s="14">
        <v>0.031967592592592596</v>
      </c>
      <c r="G514" s="21"/>
    </row>
    <row r="515">
      <c r="A515" s="4" t="s">
        <v>426</v>
      </c>
      <c r="B515" s="10">
        <v>2885052.0</v>
      </c>
      <c r="C515" s="16" t="s">
        <v>521</v>
      </c>
      <c r="D515" s="12" t="s">
        <v>26</v>
      </c>
      <c r="E515" s="13" t="s">
        <v>38</v>
      </c>
      <c r="F515" s="14">
        <v>0.022291666666666668</v>
      </c>
      <c r="G515" s="21"/>
    </row>
    <row r="516">
      <c r="A516" s="4" t="s">
        <v>426</v>
      </c>
      <c r="B516" s="10">
        <v>2885053.0</v>
      </c>
      <c r="C516" s="16" t="s">
        <v>522</v>
      </c>
      <c r="D516" s="12" t="s">
        <v>26</v>
      </c>
      <c r="E516" s="13" t="s">
        <v>38</v>
      </c>
      <c r="F516" s="14">
        <v>0.02784722222222222</v>
      </c>
      <c r="G516" s="21"/>
    </row>
    <row r="517">
      <c r="A517" s="4" t="s">
        <v>426</v>
      </c>
      <c r="B517" s="10">
        <v>3000143.0</v>
      </c>
      <c r="C517" s="16" t="s">
        <v>523</v>
      </c>
      <c r="D517" s="12" t="s">
        <v>26</v>
      </c>
      <c r="E517" s="13" t="s">
        <v>38</v>
      </c>
      <c r="F517" s="14">
        <v>0.04349537037037037</v>
      </c>
      <c r="G517" s="21"/>
    </row>
    <row r="518">
      <c r="A518" s="4" t="s">
        <v>426</v>
      </c>
      <c r="B518" s="10">
        <v>3003657.0</v>
      </c>
      <c r="C518" s="16" t="s">
        <v>524</v>
      </c>
      <c r="D518" s="12" t="s">
        <v>26</v>
      </c>
      <c r="E518" s="13" t="s">
        <v>38</v>
      </c>
      <c r="F518" s="14">
        <v>0.020196759259259258</v>
      </c>
      <c r="G518" s="21"/>
    </row>
    <row r="519">
      <c r="A519" s="4" t="s">
        <v>426</v>
      </c>
      <c r="B519" s="10">
        <v>3004107.0</v>
      </c>
      <c r="C519" s="16" t="s">
        <v>525</v>
      </c>
      <c r="D519" s="12" t="s">
        <v>26</v>
      </c>
      <c r="E519" s="13" t="s">
        <v>38</v>
      </c>
      <c r="F519" s="14">
        <v>0.011666666666666667</v>
      </c>
      <c r="G519" s="21"/>
    </row>
    <row r="520">
      <c r="A520" s="4" t="s">
        <v>426</v>
      </c>
      <c r="B520" s="10">
        <v>3156787.0</v>
      </c>
      <c r="C520" s="16" t="s">
        <v>526</v>
      </c>
      <c r="D520" s="12" t="s">
        <v>26</v>
      </c>
      <c r="E520" s="13" t="s">
        <v>38</v>
      </c>
      <c r="F520" s="14">
        <v>0.06221064814814815</v>
      </c>
      <c r="G520" s="21"/>
    </row>
    <row r="521">
      <c r="A521" s="4" t="s">
        <v>426</v>
      </c>
      <c r="B521" s="10">
        <v>2423855.0</v>
      </c>
      <c r="C521" s="16" t="s">
        <v>527</v>
      </c>
      <c r="D521" s="12" t="s">
        <v>26</v>
      </c>
      <c r="E521" s="13" t="s">
        <v>38</v>
      </c>
      <c r="F521" s="14">
        <v>0.040081018518518516</v>
      </c>
      <c r="G521" s="21"/>
    </row>
    <row r="522">
      <c r="A522" s="4" t="s">
        <v>426</v>
      </c>
      <c r="B522" s="10">
        <v>3003222.0</v>
      </c>
      <c r="C522" s="16" t="s">
        <v>528</v>
      </c>
      <c r="D522" s="12" t="s">
        <v>26</v>
      </c>
      <c r="E522" s="13" t="s">
        <v>38</v>
      </c>
      <c r="F522" s="14">
        <v>0.042986111111111114</v>
      </c>
      <c r="G522" s="21"/>
    </row>
    <row r="523">
      <c r="A523" s="4" t="s">
        <v>426</v>
      </c>
      <c r="B523" s="10">
        <v>3011082.0</v>
      </c>
      <c r="C523" s="16" t="s">
        <v>529</v>
      </c>
      <c r="D523" s="12" t="s">
        <v>26</v>
      </c>
      <c r="E523" s="13" t="s">
        <v>38</v>
      </c>
      <c r="F523" s="14">
        <v>0.030069444444444444</v>
      </c>
      <c r="G523" s="21"/>
    </row>
    <row r="524">
      <c r="A524" s="4" t="s">
        <v>426</v>
      </c>
      <c r="B524" s="10">
        <v>2427723.0</v>
      </c>
      <c r="C524" s="16" t="s">
        <v>530</v>
      </c>
      <c r="D524" s="12" t="s">
        <v>26</v>
      </c>
      <c r="E524" s="13" t="s">
        <v>38</v>
      </c>
      <c r="F524" s="14">
        <v>0.05171296296296296</v>
      </c>
      <c r="G524" s="21"/>
    </row>
    <row r="525">
      <c r="A525" s="4" t="s">
        <v>426</v>
      </c>
      <c r="B525" s="10">
        <v>3013035.0</v>
      </c>
      <c r="C525" s="16" t="s">
        <v>531</v>
      </c>
      <c r="D525" s="12" t="s">
        <v>26</v>
      </c>
      <c r="E525" s="13" t="s">
        <v>38</v>
      </c>
      <c r="F525" s="14">
        <v>0.029548611111111112</v>
      </c>
      <c r="G525" s="21"/>
    </row>
    <row r="526">
      <c r="A526" s="4" t="s">
        <v>426</v>
      </c>
      <c r="B526" s="10">
        <v>2423753.0</v>
      </c>
      <c r="C526" s="16" t="s">
        <v>532</v>
      </c>
      <c r="D526" s="12" t="s">
        <v>26</v>
      </c>
      <c r="E526" s="13" t="s">
        <v>38</v>
      </c>
      <c r="F526" s="14">
        <v>0.10708333333333334</v>
      </c>
      <c r="G526" s="21"/>
    </row>
    <row r="527">
      <c r="A527" s="4" t="s">
        <v>426</v>
      </c>
      <c r="B527" s="10">
        <v>2447217.0</v>
      </c>
      <c r="C527" s="16" t="s">
        <v>533</v>
      </c>
      <c r="D527" s="12" t="s">
        <v>26</v>
      </c>
      <c r="E527" s="13" t="s">
        <v>38</v>
      </c>
      <c r="F527" s="14">
        <v>0.019016203703703705</v>
      </c>
      <c r="G527" s="21"/>
    </row>
    <row r="528">
      <c r="A528" s="4" t="s">
        <v>426</v>
      </c>
      <c r="B528" s="10">
        <v>3008698.0</v>
      </c>
      <c r="C528" s="16" t="s">
        <v>501</v>
      </c>
      <c r="D528" s="12" t="s">
        <v>26</v>
      </c>
      <c r="E528" s="13" t="s">
        <v>38</v>
      </c>
      <c r="F528" s="14">
        <v>0.06836805555555556</v>
      </c>
      <c r="G528" s="21"/>
    </row>
    <row r="529">
      <c r="A529" s="4" t="s">
        <v>426</v>
      </c>
      <c r="B529" s="10">
        <v>3013251.0</v>
      </c>
      <c r="C529" s="16" t="s">
        <v>534</v>
      </c>
      <c r="D529" s="12" t="s">
        <v>26</v>
      </c>
      <c r="E529" s="13" t="s">
        <v>38</v>
      </c>
      <c r="F529" s="14">
        <v>0.05348379629629629</v>
      </c>
      <c r="G529" s="21"/>
    </row>
    <row r="530">
      <c r="A530" s="4" t="s">
        <v>426</v>
      </c>
      <c r="B530" s="10">
        <v>3013252.0</v>
      </c>
      <c r="C530" s="16" t="s">
        <v>535</v>
      </c>
      <c r="D530" s="12" t="s">
        <v>26</v>
      </c>
      <c r="E530" s="13" t="s">
        <v>38</v>
      </c>
      <c r="F530" s="14">
        <v>0.05354166666666667</v>
      </c>
      <c r="G530" s="21"/>
    </row>
    <row r="531">
      <c r="A531" s="4" t="s">
        <v>426</v>
      </c>
      <c r="B531" s="10">
        <v>3013331.0</v>
      </c>
      <c r="C531" s="16" t="s">
        <v>536</v>
      </c>
      <c r="D531" s="12" t="s">
        <v>26</v>
      </c>
      <c r="E531" s="13" t="s">
        <v>38</v>
      </c>
      <c r="F531" s="14">
        <v>0.02409722222222222</v>
      </c>
      <c r="G531" s="21"/>
    </row>
    <row r="532">
      <c r="A532" s="4" t="s">
        <v>426</v>
      </c>
      <c r="B532" s="10">
        <v>3013636.0</v>
      </c>
      <c r="C532" s="16" t="s">
        <v>537</v>
      </c>
      <c r="D532" s="12" t="s">
        <v>26</v>
      </c>
      <c r="E532" s="13" t="s">
        <v>38</v>
      </c>
      <c r="F532" s="14">
        <v>0.009814814814814814</v>
      </c>
      <c r="G532" s="21"/>
    </row>
    <row r="533">
      <c r="A533" s="4" t="s">
        <v>426</v>
      </c>
      <c r="B533" s="10">
        <v>3022208.0</v>
      </c>
      <c r="C533" s="16" t="s">
        <v>538</v>
      </c>
      <c r="D533" s="12" t="s">
        <v>26</v>
      </c>
      <c r="E533" s="13" t="s">
        <v>38</v>
      </c>
      <c r="F533" s="14">
        <v>0.02550925925925926</v>
      </c>
      <c r="G533" s="21"/>
    </row>
    <row r="534">
      <c r="A534" s="4" t="s">
        <v>426</v>
      </c>
      <c r="B534" s="10">
        <v>3022385.0</v>
      </c>
      <c r="C534" s="16" t="s">
        <v>539</v>
      </c>
      <c r="D534" s="12" t="s">
        <v>26</v>
      </c>
      <c r="E534" s="13" t="s">
        <v>38</v>
      </c>
      <c r="F534" s="14">
        <v>0.03252314814814815</v>
      </c>
      <c r="G534" s="21"/>
    </row>
    <row r="535">
      <c r="A535" s="4" t="s">
        <v>426</v>
      </c>
      <c r="B535" s="10">
        <v>2430046.0</v>
      </c>
      <c r="C535" s="16" t="s">
        <v>540</v>
      </c>
      <c r="D535" s="12" t="s">
        <v>26</v>
      </c>
      <c r="E535" s="13" t="s">
        <v>19</v>
      </c>
      <c r="F535" s="14">
        <v>0.03280092592592593</v>
      </c>
      <c r="G535" s="21"/>
    </row>
    <row r="536">
      <c r="A536" s="4" t="s">
        <v>426</v>
      </c>
      <c r="B536" s="10">
        <v>3008553.0</v>
      </c>
      <c r="C536" s="16" t="s">
        <v>541</v>
      </c>
      <c r="D536" s="12" t="s">
        <v>26</v>
      </c>
      <c r="E536" s="13" t="s">
        <v>19</v>
      </c>
      <c r="F536" s="14">
        <v>0.026689814814814816</v>
      </c>
      <c r="G536" s="21"/>
    </row>
    <row r="537">
      <c r="A537" s="4" t="s">
        <v>426</v>
      </c>
      <c r="B537" s="10">
        <v>3008224.0</v>
      </c>
      <c r="C537" s="16" t="s">
        <v>542</v>
      </c>
      <c r="D537" s="12" t="s">
        <v>26</v>
      </c>
      <c r="E537" s="13" t="s">
        <v>19</v>
      </c>
      <c r="F537" s="14">
        <v>0.16121527777777778</v>
      </c>
      <c r="G537" s="21"/>
    </row>
    <row r="538">
      <c r="A538" s="4" t="s">
        <v>426</v>
      </c>
      <c r="B538" s="10">
        <v>2210431.0</v>
      </c>
      <c r="C538" s="16" t="s">
        <v>543</v>
      </c>
      <c r="D538" s="12" t="s">
        <v>26</v>
      </c>
      <c r="E538" s="13" t="s">
        <v>19</v>
      </c>
      <c r="F538" s="14">
        <v>0.0637037037037037</v>
      </c>
      <c r="G538" s="21"/>
    </row>
    <row r="539">
      <c r="A539" s="4" t="s">
        <v>426</v>
      </c>
      <c r="B539" s="10">
        <v>2824237.0</v>
      </c>
      <c r="C539" s="16" t="s">
        <v>544</v>
      </c>
      <c r="D539" s="12" t="s">
        <v>26</v>
      </c>
      <c r="E539" s="13" t="s">
        <v>19</v>
      </c>
      <c r="F539" s="14">
        <v>0.07431712962962964</v>
      </c>
      <c r="G539" s="21"/>
    </row>
    <row r="540">
      <c r="A540" s="4" t="s">
        <v>426</v>
      </c>
      <c r="B540" s="10">
        <v>471976.0</v>
      </c>
      <c r="C540" s="16" t="s">
        <v>545</v>
      </c>
      <c r="D540" s="12" t="s">
        <v>26</v>
      </c>
      <c r="E540" s="13" t="s">
        <v>19</v>
      </c>
      <c r="F540" s="14">
        <v>0.04189814814814815</v>
      </c>
      <c r="G540" s="21"/>
    </row>
    <row r="541">
      <c r="A541" s="4" t="s">
        <v>426</v>
      </c>
      <c r="B541" s="10">
        <v>157305.0</v>
      </c>
      <c r="C541" s="16" t="s">
        <v>546</v>
      </c>
      <c r="D541" s="12" t="s">
        <v>26</v>
      </c>
      <c r="E541" s="13" t="s">
        <v>26</v>
      </c>
      <c r="F541" s="14">
        <v>0.03765046296296296</v>
      </c>
      <c r="G541" s="21"/>
    </row>
    <row r="542">
      <c r="A542" s="4" t="s">
        <v>426</v>
      </c>
      <c r="B542" s="10">
        <v>737788.0</v>
      </c>
      <c r="C542" s="16" t="s">
        <v>547</v>
      </c>
      <c r="D542" s="12" t="s">
        <v>26</v>
      </c>
      <c r="E542" s="13" t="s">
        <v>26</v>
      </c>
      <c r="F542" s="14">
        <v>0.10988425925925926</v>
      </c>
      <c r="G542" s="21"/>
    </row>
    <row r="543">
      <c r="A543" s="4" t="s">
        <v>426</v>
      </c>
      <c r="B543" s="10">
        <v>2818028.0</v>
      </c>
      <c r="C543" s="16" t="s">
        <v>548</v>
      </c>
      <c r="D543" s="12" t="s">
        <v>26</v>
      </c>
      <c r="E543" s="13" t="s">
        <v>26</v>
      </c>
      <c r="F543" s="14">
        <v>0.06278935185185185</v>
      </c>
      <c r="G543" s="21"/>
    </row>
    <row r="544">
      <c r="A544" s="4" t="s">
        <v>426</v>
      </c>
      <c r="B544" s="10">
        <v>2838111.0</v>
      </c>
      <c r="C544" s="16" t="s">
        <v>423</v>
      </c>
      <c r="D544" s="12" t="s">
        <v>26</v>
      </c>
      <c r="E544" s="13" t="s">
        <v>26</v>
      </c>
      <c r="F544" s="14">
        <v>0.02105324074074074</v>
      </c>
      <c r="G544" s="21"/>
    </row>
    <row r="545">
      <c r="A545" s="4" t="s">
        <v>426</v>
      </c>
      <c r="B545" s="10">
        <v>2836033.0</v>
      </c>
      <c r="C545" s="16" t="s">
        <v>549</v>
      </c>
      <c r="D545" s="12" t="s">
        <v>26</v>
      </c>
      <c r="E545" s="13" t="s">
        <v>26</v>
      </c>
      <c r="F545" s="14">
        <v>0.014699074074074074</v>
      </c>
      <c r="G545" s="21"/>
    </row>
    <row r="546">
      <c r="A546" s="4" t="s">
        <v>426</v>
      </c>
      <c r="B546" s="10">
        <v>2870045.0</v>
      </c>
      <c r="C546" s="16" t="s">
        <v>550</v>
      </c>
      <c r="D546" s="12" t="s">
        <v>26</v>
      </c>
      <c r="E546" s="13" t="s">
        <v>26</v>
      </c>
      <c r="F546" s="14">
        <v>0.0568287037037037</v>
      </c>
      <c r="G546" s="21"/>
    </row>
    <row r="547">
      <c r="A547" s="4" t="s">
        <v>426</v>
      </c>
      <c r="B547" s="10">
        <v>3008161.0</v>
      </c>
      <c r="C547" s="16" t="s">
        <v>551</v>
      </c>
      <c r="D547" s="12" t="s">
        <v>26</v>
      </c>
      <c r="E547" s="13" t="s">
        <v>26</v>
      </c>
      <c r="F547" s="14">
        <v>0.014884259259259259</v>
      </c>
      <c r="G547" s="21"/>
    </row>
    <row r="548">
      <c r="A548" s="4" t="s">
        <v>426</v>
      </c>
      <c r="B548" s="10">
        <v>3017002.0</v>
      </c>
      <c r="C548" s="16" t="s">
        <v>552</v>
      </c>
      <c r="D548" s="12" t="s">
        <v>26</v>
      </c>
      <c r="E548" s="13" t="s">
        <v>26</v>
      </c>
      <c r="F548" s="14">
        <v>0.0190625</v>
      </c>
      <c r="G548" s="21"/>
    </row>
    <row r="549">
      <c r="A549" s="4" t="s">
        <v>426</v>
      </c>
      <c r="B549" s="10">
        <v>2834035.0</v>
      </c>
      <c r="C549" s="16" t="s">
        <v>553</v>
      </c>
      <c r="D549" s="12" t="s">
        <v>26</v>
      </c>
      <c r="E549" s="13" t="s">
        <v>15</v>
      </c>
      <c r="F549" s="14">
        <v>0.16467592592592592</v>
      </c>
      <c r="G549" s="21"/>
    </row>
    <row r="550">
      <c r="A550" s="4" t="s">
        <v>426</v>
      </c>
      <c r="B550" s="10">
        <v>656809.0</v>
      </c>
      <c r="C550" s="16" t="s">
        <v>554</v>
      </c>
      <c r="D550" s="12" t="s">
        <v>26</v>
      </c>
      <c r="E550" s="13" t="s">
        <v>15</v>
      </c>
      <c r="F550" s="14">
        <v>0.04466435185185185</v>
      </c>
      <c r="G550" s="21"/>
    </row>
    <row r="551">
      <c r="A551" s="4" t="s">
        <v>426</v>
      </c>
      <c r="B551" s="10">
        <v>2808548.0</v>
      </c>
      <c r="C551" s="16" t="s">
        <v>555</v>
      </c>
      <c r="D551" s="12" t="s">
        <v>26</v>
      </c>
      <c r="E551" s="13" t="s">
        <v>15</v>
      </c>
      <c r="F551" s="14">
        <v>0.041180555555555554</v>
      </c>
      <c r="G551" s="21"/>
    </row>
    <row r="552">
      <c r="A552" s="4" t="s">
        <v>426</v>
      </c>
      <c r="B552" s="10">
        <v>2849044.0</v>
      </c>
      <c r="C552" s="16" t="s">
        <v>556</v>
      </c>
      <c r="D552" s="12" t="s">
        <v>26</v>
      </c>
      <c r="E552" s="13" t="s">
        <v>15</v>
      </c>
      <c r="F552" s="14">
        <v>0.026018518518518517</v>
      </c>
      <c r="G552" s="21"/>
    </row>
    <row r="553">
      <c r="A553" s="4" t="s">
        <v>426</v>
      </c>
      <c r="B553" s="10">
        <v>2833101.0</v>
      </c>
      <c r="C553" s="16" t="s">
        <v>557</v>
      </c>
      <c r="D553" s="12" t="s">
        <v>26</v>
      </c>
      <c r="E553" s="13" t="s">
        <v>15</v>
      </c>
      <c r="F553" s="14">
        <v>0.03208333333333333</v>
      </c>
      <c r="G553" s="21"/>
    </row>
    <row r="554">
      <c r="A554" s="4" t="s">
        <v>426</v>
      </c>
      <c r="B554" s="10">
        <v>2841396.0</v>
      </c>
      <c r="C554" s="16" t="s">
        <v>558</v>
      </c>
      <c r="D554" s="12" t="s">
        <v>26</v>
      </c>
      <c r="E554" s="13" t="s">
        <v>15</v>
      </c>
      <c r="F554" s="14">
        <v>0.041805555555555554</v>
      </c>
      <c r="G554" s="21"/>
    </row>
    <row r="555">
      <c r="A555" s="4" t="s">
        <v>426</v>
      </c>
      <c r="B555" s="10">
        <v>2864007.0</v>
      </c>
      <c r="C555" s="16" t="s">
        <v>559</v>
      </c>
      <c r="D555" s="12" t="s">
        <v>26</v>
      </c>
      <c r="E555" s="13" t="s">
        <v>15</v>
      </c>
      <c r="F555" s="14">
        <v>0.04417824074074074</v>
      </c>
      <c r="G555" s="21"/>
    </row>
    <row r="556">
      <c r="A556" s="4" t="s">
        <v>426</v>
      </c>
      <c r="B556" s="10">
        <v>2833073.0</v>
      </c>
      <c r="C556" s="16" t="s">
        <v>560</v>
      </c>
      <c r="D556" s="12" t="s">
        <v>26</v>
      </c>
      <c r="E556" s="13" t="s">
        <v>15</v>
      </c>
      <c r="F556" s="14">
        <v>0.08354166666666667</v>
      </c>
      <c r="G556" s="21"/>
    </row>
    <row r="557">
      <c r="A557" s="4" t="s">
        <v>426</v>
      </c>
      <c r="B557" s="10">
        <v>2818029.0</v>
      </c>
      <c r="C557" s="16" t="s">
        <v>561</v>
      </c>
      <c r="D557" s="12" t="s">
        <v>26</v>
      </c>
      <c r="E557" s="13" t="s">
        <v>15</v>
      </c>
      <c r="F557" s="14">
        <v>0.024826388888888887</v>
      </c>
      <c r="G557" s="21"/>
    </row>
    <row r="558">
      <c r="A558" s="4" t="s">
        <v>426</v>
      </c>
      <c r="B558" s="10">
        <v>2817189.0</v>
      </c>
      <c r="C558" s="16" t="s">
        <v>562</v>
      </c>
      <c r="D558" s="12" t="s">
        <v>26</v>
      </c>
      <c r="E558" s="13" t="s">
        <v>15</v>
      </c>
      <c r="F558" s="14">
        <v>0.03851851851851852</v>
      </c>
      <c r="G558" s="21"/>
    </row>
    <row r="559">
      <c r="A559" s="4" t="s">
        <v>426</v>
      </c>
      <c r="B559" s="10">
        <v>2819186.0</v>
      </c>
      <c r="C559" s="16" t="s">
        <v>563</v>
      </c>
      <c r="D559" s="12" t="s">
        <v>26</v>
      </c>
      <c r="E559" s="13" t="s">
        <v>15</v>
      </c>
      <c r="F559" s="14">
        <v>0.03815972222222222</v>
      </c>
      <c r="G559" s="21"/>
    </row>
    <row r="560">
      <c r="A560" s="4" t="s">
        <v>426</v>
      </c>
      <c r="B560" s="10">
        <v>2822059.0</v>
      </c>
      <c r="C560" s="16" t="s">
        <v>564</v>
      </c>
      <c r="D560" s="12" t="s">
        <v>26</v>
      </c>
      <c r="E560" s="13" t="s">
        <v>15</v>
      </c>
      <c r="F560" s="14">
        <v>0.06682870370370371</v>
      </c>
      <c r="G560" s="21"/>
    </row>
    <row r="561">
      <c r="A561" s="4" t="s">
        <v>426</v>
      </c>
      <c r="B561" s="10">
        <v>2823073.0</v>
      </c>
      <c r="C561" s="16" t="s">
        <v>565</v>
      </c>
      <c r="D561" s="12" t="s">
        <v>26</v>
      </c>
      <c r="E561" s="13" t="s">
        <v>15</v>
      </c>
      <c r="F561" s="14">
        <v>0.04652777777777778</v>
      </c>
      <c r="G561" s="21"/>
    </row>
    <row r="562">
      <c r="A562" s="4" t="s">
        <v>426</v>
      </c>
      <c r="B562" s="10">
        <v>2226728.0</v>
      </c>
      <c r="C562" s="16" t="s">
        <v>566</v>
      </c>
      <c r="D562" s="12" t="s">
        <v>26</v>
      </c>
      <c r="E562" s="13" t="s">
        <v>15</v>
      </c>
      <c r="F562" s="14">
        <v>0.02494212962962963</v>
      </c>
      <c r="G562" s="21"/>
    </row>
    <row r="563">
      <c r="A563" s="4" t="s">
        <v>426</v>
      </c>
      <c r="B563" s="10">
        <v>2242052.0</v>
      </c>
      <c r="C563" s="16" t="s">
        <v>567</v>
      </c>
      <c r="D563" s="12" t="s">
        <v>26</v>
      </c>
      <c r="E563" s="13" t="s">
        <v>15</v>
      </c>
      <c r="F563" s="14">
        <v>0.07243055555555555</v>
      </c>
      <c r="G563" s="21"/>
    </row>
    <row r="564">
      <c r="A564" s="4" t="s">
        <v>426</v>
      </c>
      <c r="B564" s="10">
        <v>2839084.0</v>
      </c>
      <c r="C564" s="16" t="s">
        <v>568</v>
      </c>
      <c r="D564" s="12" t="s">
        <v>26</v>
      </c>
      <c r="E564" s="13" t="s">
        <v>15</v>
      </c>
      <c r="F564" s="14">
        <v>0.018761574074074073</v>
      </c>
      <c r="G564" s="21"/>
    </row>
    <row r="565">
      <c r="A565" s="4" t="s">
        <v>426</v>
      </c>
      <c r="B565" s="10">
        <v>2833046.0</v>
      </c>
      <c r="C565" s="16" t="s">
        <v>569</v>
      </c>
      <c r="D565" s="12" t="s">
        <v>26</v>
      </c>
      <c r="E565" s="13" t="s">
        <v>15</v>
      </c>
      <c r="F565" s="14">
        <v>0.03150462962962963</v>
      </c>
      <c r="G565" s="21"/>
    </row>
    <row r="566">
      <c r="A566" s="4" t="s">
        <v>426</v>
      </c>
      <c r="B566" s="10">
        <v>2849045.0</v>
      </c>
      <c r="C566" s="16" t="s">
        <v>570</v>
      </c>
      <c r="D566" s="12" t="s">
        <v>26</v>
      </c>
      <c r="E566" s="13" t="s">
        <v>15</v>
      </c>
      <c r="F566" s="14">
        <v>0.018506944444444444</v>
      </c>
      <c r="G566" s="21"/>
    </row>
    <row r="567">
      <c r="A567" s="4" t="s">
        <v>426</v>
      </c>
      <c r="B567" s="10">
        <v>2874017.0</v>
      </c>
      <c r="C567" s="16" t="s">
        <v>571</v>
      </c>
      <c r="D567" s="12" t="s">
        <v>26</v>
      </c>
      <c r="E567" s="13" t="s">
        <v>15</v>
      </c>
      <c r="F567" s="14">
        <v>0.0621875</v>
      </c>
      <c r="G567" s="21"/>
    </row>
    <row r="568">
      <c r="A568" s="4" t="s">
        <v>426</v>
      </c>
      <c r="B568" s="10">
        <v>2834042.0</v>
      </c>
      <c r="C568" s="16" t="s">
        <v>572</v>
      </c>
      <c r="D568" s="12" t="s">
        <v>26</v>
      </c>
      <c r="E568" s="13" t="s">
        <v>15</v>
      </c>
      <c r="F568" s="14">
        <v>0.03305555555555555</v>
      </c>
      <c r="G568" s="21"/>
    </row>
    <row r="569">
      <c r="A569" s="4" t="s">
        <v>426</v>
      </c>
      <c r="B569" s="10">
        <v>2849004.0</v>
      </c>
      <c r="C569" s="16" t="s">
        <v>573</v>
      </c>
      <c r="D569" s="12" t="s">
        <v>26</v>
      </c>
      <c r="E569" s="13" t="s">
        <v>15</v>
      </c>
      <c r="F569" s="14">
        <v>0.0434375</v>
      </c>
      <c r="G569" s="21"/>
    </row>
    <row r="570">
      <c r="A570" s="4" t="s">
        <v>426</v>
      </c>
      <c r="B570" s="10">
        <v>2875239.0</v>
      </c>
      <c r="C570" s="16" t="s">
        <v>574</v>
      </c>
      <c r="D570" s="12" t="s">
        <v>26</v>
      </c>
      <c r="E570" s="13" t="s">
        <v>15</v>
      </c>
      <c r="F570" s="14">
        <v>0.04268518518518519</v>
      </c>
      <c r="G570" s="21"/>
    </row>
    <row r="571">
      <c r="A571" s="4" t="s">
        <v>426</v>
      </c>
      <c r="B571" s="10">
        <v>2875242.0</v>
      </c>
      <c r="C571" s="16" t="s">
        <v>575</v>
      </c>
      <c r="D571" s="12" t="s">
        <v>26</v>
      </c>
      <c r="E571" s="13" t="s">
        <v>15</v>
      </c>
      <c r="F571" s="14">
        <v>0.05483796296296296</v>
      </c>
      <c r="G571" s="21"/>
    </row>
    <row r="572">
      <c r="A572" s="4" t="s">
        <v>426</v>
      </c>
      <c r="B572" s="10">
        <v>2882048.0</v>
      </c>
      <c r="C572" s="16" t="s">
        <v>576</v>
      </c>
      <c r="D572" s="12" t="s">
        <v>26</v>
      </c>
      <c r="E572" s="13" t="s">
        <v>15</v>
      </c>
      <c r="F572" s="14">
        <v>0.048541666666666664</v>
      </c>
      <c r="G572" s="21"/>
    </row>
    <row r="573">
      <c r="A573" s="4" t="s">
        <v>426</v>
      </c>
      <c r="B573" s="10">
        <v>2886001.0</v>
      </c>
      <c r="C573" s="16" t="s">
        <v>577</v>
      </c>
      <c r="D573" s="12" t="s">
        <v>26</v>
      </c>
      <c r="E573" s="13" t="s">
        <v>15</v>
      </c>
      <c r="F573" s="14">
        <v>0.04569444444444445</v>
      </c>
      <c r="G573" s="21"/>
    </row>
    <row r="574">
      <c r="A574" s="4" t="s">
        <v>426</v>
      </c>
      <c r="B574" s="10">
        <v>2874008.0</v>
      </c>
      <c r="C574" s="16" t="s">
        <v>578</v>
      </c>
      <c r="D574" s="12" t="s">
        <v>26</v>
      </c>
      <c r="E574" s="13" t="s">
        <v>15</v>
      </c>
      <c r="F574" s="14">
        <v>0.037280092592592594</v>
      </c>
      <c r="G574" s="21"/>
    </row>
    <row r="575">
      <c r="A575" s="4" t="s">
        <v>426</v>
      </c>
      <c r="B575" s="10">
        <v>2421500.0</v>
      </c>
      <c r="C575" s="16" t="s">
        <v>579</v>
      </c>
      <c r="D575" s="12" t="s">
        <v>26</v>
      </c>
      <c r="E575" s="13" t="s">
        <v>15</v>
      </c>
      <c r="F575" s="14">
        <v>0.012118055555555556</v>
      </c>
      <c r="G575" s="21"/>
    </row>
    <row r="576">
      <c r="A576" s="4" t="s">
        <v>426</v>
      </c>
      <c r="B576" s="10">
        <v>2426262.0</v>
      </c>
      <c r="C576" s="16" t="s">
        <v>580</v>
      </c>
      <c r="D576" s="12" t="s">
        <v>26</v>
      </c>
      <c r="E576" s="13" t="s">
        <v>15</v>
      </c>
      <c r="F576" s="14">
        <v>0.036319444444444446</v>
      </c>
      <c r="G576" s="21"/>
    </row>
    <row r="577">
      <c r="A577" s="4" t="s">
        <v>426</v>
      </c>
      <c r="B577" s="10">
        <v>2892593.0</v>
      </c>
      <c r="C577" s="16" t="s">
        <v>581</v>
      </c>
      <c r="D577" s="12" t="s">
        <v>26</v>
      </c>
      <c r="E577" s="13" t="s">
        <v>15</v>
      </c>
      <c r="F577" s="14">
        <v>0.06872685185185186</v>
      </c>
      <c r="G577" s="21"/>
    </row>
    <row r="578">
      <c r="A578" s="4" t="s">
        <v>582</v>
      </c>
      <c r="B578" s="5" t="s">
        <v>8</v>
      </c>
      <c r="C578" s="6" t="s">
        <v>9</v>
      </c>
      <c r="D578" s="7" t="s">
        <v>3</v>
      </c>
      <c r="E578" s="7" t="s">
        <v>10</v>
      </c>
      <c r="F578" s="8" t="s">
        <v>11</v>
      </c>
      <c r="G578" s="9" t="s">
        <v>12</v>
      </c>
    </row>
    <row r="579">
      <c r="A579" s="4" t="s">
        <v>582</v>
      </c>
      <c r="B579" s="10">
        <v>2810399.0</v>
      </c>
      <c r="C579" s="16" t="s">
        <v>583</v>
      </c>
      <c r="D579" s="12" t="s">
        <v>14</v>
      </c>
      <c r="E579" s="13" t="s">
        <v>109</v>
      </c>
      <c r="F579" s="14">
        <v>0.04398148148148148</v>
      </c>
      <c r="G579" s="15" t="s">
        <v>584</v>
      </c>
    </row>
    <row r="580">
      <c r="A580" s="4" t="s">
        <v>582</v>
      </c>
      <c r="B580" s="10">
        <v>2815157.0</v>
      </c>
      <c r="C580" s="16" t="s">
        <v>113</v>
      </c>
      <c r="D580" s="12" t="s">
        <v>14</v>
      </c>
      <c r="E580" s="13" t="s">
        <v>38</v>
      </c>
      <c r="F580" s="14">
        <v>0.060162037037037035</v>
      </c>
      <c r="G580" s="15" t="s">
        <v>585</v>
      </c>
    </row>
    <row r="581">
      <c r="A581" s="4" t="s">
        <v>582</v>
      </c>
      <c r="B581" s="10">
        <v>585010.0</v>
      </c>
      <c r="C581" s="16" t="s">
        <v>586</v>
      </c>
      <c r="D581" s="12" t="s">
        <v>14</v>
      </c>
      <c r="E581" s="13" t="s">
        <v>19</v>
      </c>
      <c r="F581" s="14">
        <v>0.0635300925925926</v>
      </c>
      <c r="G581" s="15" t="s">
        <v>587</v>
      </c>
    </row>
    <row r="582">
      <c r="A582" s="4" t="s">
        <v>582</v>
      </c>
      <c r="B582" s="10">
        <v>2244040.0</v>
      </c>
      <c r="C582" s="16" t="s">
        <v>588</v>
      </c>
      <c r="D582" s="12" t="s">
        <v>14</v>
      </c>
      <c r="E582" s="13" t="s">
        <v>26</v>
      </c>
      <c r="F582" s="14">
        <v>0.00636574074074074</v>
      </c>
      <c r="G582" s="17" t="s">
        <v>589</v>
      </c>
    </row>
    <row r="583">
      <c r="A583" s="4" t="s">
        <v>582</v>
      </c>
      <c r="B583" s="10">
        <v>5015872.0</v>
      </c>
      <c r="C583" s="16" t="s">
        <v>590</v>
      </c>
      <c r="D583" s="12" t="s">
        <v>14</v>
      </c>
      <c r="E583" s="13" t="s">
        <v>15</v>
      </c>
      <c r="F583" s="14">
        <v>0.012939814814814815</v>
      </c>
      <c r="G583" s="15" t="s">
        <v>591</v>
      </c>
    </row>
    <row r="584">
      <c r="A584" s="4" t="s">
        <v>582</v>
      </c>
      <c r="B584" s="10">
        <v>2818081.0</v>
      </c>
      <c r="C584" s="16" t="s">
        <v>592</v>
      </c>
      <c r="D584" s="12" t="s">
        <v>14</v>
      </c>
      <c r="E584" s="13" t="s">
        <v>15</v>
      </c>
      <c r="F584" s="14">
        <v>0.029756944444444444</v>
      </c>
      <c r="G584" s="15" t="s">
        <v>593</v>
      </c>
    </row>
    <row r="585">
      <c r="A585" s="4" t="s">
        <v>582</v>
      </c>
      <c r="B585" s="10">
        <v>492724.0</v>
      </c>
      <c r="C585" s="16" t="s">
        <v>594</v>
      </c>
      <c r="D585" s="12" t="s">
        <v>18</v>
      </c>
      <c r="E585" s="13" t="s">
        <v>109</v>
      </c>
      <c r="F585" s="14">
        <v>0.04037037037037037</v>
      </c>
      <c r="G585" s="21"/>
    </row>
    <row r="586">
      <c r="A586" s="4" t="s">
        <v>582</v>
      </c>
      <c r="B586" s="10">
        <v>2864209.0</v>
      </c>
      <c r="C586" s="16" t="s">
        <v>595</v>
      </c>
      <c r="D586" s="12" t="s">
        <v>18</v>
      </c>
      <c r="E586" s="13" t="s">
        <v>109</v>
      </c>
      <c r="F586" s="14">
        <v>0.02144675925925926</v>
      </c>
      <c r="G586" s="21"/>
    </row>
    <row r="587">
      <c r="A587" s="4" t="s">
        <v>582</v>
      </c>
      <c r="B587" s="10">
        <v>2876020.0</v>
      </c>
      <c r="C587" s="16" t="s">
        <v>596</v>
      </c>
      <c r="D587" s="12" t="s">
        <v>18</v>
      </c>
      <c r="E587" s="13" t="s">
        <v>109</v>
      </c>
      <c r="F587" s="14">
        <v>0.03415509259259259</v>
      </c>
      <c r="G587" s="21"/>
    </row>
    <row r="588">
      <c r="A588" s="4" t="s">
        <v>582</v>
      </c>
      <c r="B588" s="10">
        <v>2813223.0</v>
      </c>
      <c r="C588" s="16" t="s">
        <v>597</v>
      </c>
      <c r="D588" s="12" t="s">
        <v>18</v>
      </c>
      <c r="E588" s="13" t="s">
        <v>26</v>
      </c>
      <c r="F588" s="14">
        <v>0.05261574074074074</v>
      </c>
      <c r="G588" s="21"/>
    </row>
    <row r="589">
      <c r="A589" s="4" t="s">
        <v>582</v>
      </c>
      <c r="B589" s="10">
        <v>2825455.0</v>
      </c>
      <c r="C589" s="16" t="s">
        <v>598</v>
      </c>
      <c r="D589" s="12" t="s">
        <v>18</v>
      </c>
      <c r="E589" s="13" t="s">
        <v>15</v>
      </c>
      <c r="F589" s="14">
        <v>0.01962962962962963</v>
      </c>
      <c r="G589" s="21"/>
    </row>
    <row r="590">
      <c r="A590" s="4" t="s">
        <v>582</v>
      </c>
      <c r="B590" s="10">
        <v>784282.0</v>
      </c>
      <c r="C590" s="16" t="s">
        <v>28</v>
      </c>
      <c r="D590" s="12" t="s">
        <v>18</v>
      </c>
      <c r="E590" s="13" t="s">
        <v>15</v>
      </c>
      <c r="F590" s="14">
        <v>0.02167824074074074</v>
      </c>
      <c r="G590" s="21"/>
    </row>
    <row r="591">
      <c r="A591" s="4" t="s">
        <v>582</v>
      </c>
      <c r="B591" s="10">
        <v>2807856.0</v>
      </c>
      <c r="C591" s="16" t="s">
        <v>122</v>
      </c>
      <c r="D591" s="12" t="s">
        <v>34</v>
      </c>
      <c r="E591" s="13" t="s">
        <v>26</v>
      </c>
      <c r="F591" s="14">
        <v>0.02775462962962963</v>
      </c>
      <c r="G591" s="21"/>
    </row>
    <row r="592">
      <c r="A592" s="4" t="s">
        <v>582</v>
      </c>
      <c r="B592" s="10">
        <v>685022.0</v>
      </c>
      <c r="C592" s="16" t="s">
        <v>599</v>
      </c>
      <c r="D592" s="12" t="s">
        <v>34</v>
      </c>
      <c r="E592" s="13" t="s">
        <v>15</v>
      </c>
      <c r="F592" s="14">
        <v>0.02158564814814815</v>
      </c>
      <c r="G592" s="21"/>
    </row>
    <row r="593">
      <c r="A593" s="4" t="s">
        <v>582</v>
      </c>
      <c r="B593" s="10">
        <v>2297062.0</v>
      </c>
      <c r="C593" s="16" t="s">
        <v>600</v>
      </c>
      <c r="D593" s="12" t="s">
        <v>34</v>
      </c>
      <c r="E593" s="13" t="s">
        <v>15</v>
      </c>
      <c r="F593" s="14">
        <v>0.03836805555555556</v>
      </c>
      <c r="G593" s="21"/>
    </row>
    <row r="594">
      <c r="A594" s="4" t="s">
        <v>582</v>
      </c>
      <c r="B594" s="10">
        <v>2888004.0</v>
      </c>
      <c r="C594" s="16" t="s">
        <v>601</v>
      </c>
      <c r="D594" s="12" t="s">
        <v>34</v>
      </c>
      <c r="E594" s="13" t="s">
        <v>15</v>
      </c>
      <c r="F594" s="14">
        <v>0.055740740740740743</v>
      </c>
      <c r="G594" s="21"/>
    </row>
    <row r="595">
      <c r="A595" s="4" t="s">
        <v>582</v>
      </c>
      <c r="B595" s="10">
        <v>2299017.0</v>
      </c>
      <c r="C595" s="16" t="s">
        <v>602</v>
      </c>
      <c r="D595" s="12" t="s">
        <v>26</v>
      </c>
      <c r="E595" s="13" t="s">
        <v>109</v>
      </c>
      <c r="F595" s="14">
        <v>0.04114583333333333</v>
      </c>
      <c r="G595" s="21"/>
    </row>
    <row r="596">
      <c r="A596" s="4" t="s">
        <v>582</v>
      </c>
      <c r="B596" s="10">
        <v>548712.0</v>
      </c>
      <c r="C596" s="16" t="s">
        <v>603</v>
      </c>
      <c r="D596" s="12" t="s">
        <v>26</v>
      </c>
      <c r="E596" s="13" t="s">
        <v>38</v>
      </c>
      <c r="F596" s="14">
        <v>0.029108796296296296</v>
      </c>
      <c r="G596" s="21"/>
    </row>
    <row r="597">
      <c r="A597" s="4" t="s">
        <v>582</v>
      </c>
      <c r="B597" s="10">
        <v>178137.0</v>
      </c>
      <c r="C597" s="16" t="s">
        <v>604</v>
      </c>
      <c r="D597" s="12" t="s">
        <v>26</v>
      </c>
      <c r="E597" s="13" t="s">
        <v>38</v>
      </c>
      <c r="F597" s="14">
        <v>0.029780092592592594</v>
      </c>
      <c r="G597" s="21"/>
    </row>
    <row r="598">
      <c r="A598" s="4" t="s">
        <v>582</v>
      </c>
      <c r="B598" s="10">
        <v>2804654.0</v>
      </c>
      <c r="C598" s="16" t="s">
        <v>605</v>
      </c>
      <c r="D598" s="12" t="s">
        <v>26</v>
      </c>
      <c r="E598" s="13" t="s">
        <v>38</v>
      </c>
      <c r="F598" s="14">
        <v>0.018773148148148146</v>
      </c>
      <c r="G598" s="21"/>
    </row>
    <row r="599">
      <c r="A599" s="4" t="s">
        <v>582</v>
      </c>
      <c r="B599" s="10">
        <v>178138.0</v>
      </c>
      <c r="C599" s="16" t="s">
        <v>606</v>
      </c>
      <c r="D599" s="12" t="s">
        <v>26</v>
      </c>
      <c r="E599" s="13" t="s">
        <v>38</v>
      </c>
      <c r="F599" s="14">
        <v>0.013680555555555555</v>
      </c>
      <c r="G599" s="21"/>
    </row>
    <row r="600">
      <c r="A600" s="4" t="s">
        <v>582</v>
      </c>
      <c r="B600" s="10">
        <v>2213242.0</v>
      </c>
      <c r="C600" s="16" t="s">
        <v>470</v>
      </c>
      <c r="D600" s="12" t="s">
        <v>26</v>
      </c>
      <c r="E600" s="13" t="s">
        <v>38</v>
      </c>
      <c r="F600" s="14">
        <v>0.029652777777777778</v>
      </c>
      <c r="G600" s="21"/>
    </row>
    <row r="601">
      <c r="A601" s="4" t="s">
        <v>582</v>
      </c>
      <c r="B601" s="10">
        <v>2822032.0</v>
      </c>
      <c r="C601" s="16" t="s">
        <v>607</v>
      </c>
      <c r="D601" s="12" t="s">
        <v>26</v>
      </c>
      <c r="E601" s="13" t="s">
        <v>38</v>
      </c>
      <c r="F601" s="14">
        <v>0.024155092592592593</v>
      </c>
      <c r="G601" s="21"/>
    </row>
    <row r="602">
      <c r="A602" s="4" t="s">
        <v>582</v>
      </c>
      <c r="B602" s="10">
        <v>2823256.0</v>
      </c>
      <c r="C602" s="16" t="s">
        <v>608</v>
      </c>
      <c r="D602" s="12" t="s">
        <v>26</v>
      </c>
      <c r="E602" s="13" t="s">
        <v>38</v>
      </c>
      <c r="F602" s="14">
        <v>0.015844907407407408</v>
      </c>
      <c r="G602" s="21"/>
    </row>
    <row r="603">
      <c r="A603" s="4" t="s">
        <v>582</v>
      </c>
      <c r="B603" s="10">
        <v>2426604.0</v>
      </c>
      <c r="C603" s="16" t="s">
        <v>609</v>
      </c>
      <c r="D603" s="12" t="s">
        <v>26</v>
      </c>
      <c r="E603" s="13" t="s">
        <v>38</v>
      </c>
      <c r="F603" s="14">
        <v>0.00494212962962963</v>
      </c>
      <c r="G603" s="21"/>
    </row>
    <row r="604">
      <c r="A604" s="4" t="s">
        <v>582</v>
      </c>
      <c r="B604" s="10">
        <v>2426261.0</v>
      </c>
      <c r="C604" s="16" t="s">
        <v>610</v>
      </c>
      <c r="D604" s="12" t="s">
        <v>26</v>
      </c>
      <c r="E604" s="13" t="s">
        <v>38</v>
      </c>
      <c r="F604" s="14">
        <v>0.005810185185185186</v>
      </c>
      <c r="G604" s="21"/>
    </row>
    <row r="605">
      <c r="A605" s="4" t="s">
        <v>582</v>
      </c>
      <c r="B605" s="10">
        <v>2833086.0</v>
      </c>
      <c r="C605" s="16" t="s">
        <v>611</v>
      </c>
      <c r="D605" s="12" t="s">
        <v>26</v>
      </c>
      <c r="E605" s="13" t="s">
        <v>38</v>
      </c>
      <c r="F605" s="14">
        <v>0.03378472222222222</v>
      </c>
      <c r="G605" s="21"/>
    </row>
    <row r="606">
      <c r="A606" s="4" t="s">
        <v>582</v>
      </c>
      <c r="B606" s="10">
        <v>2833044.0</v>
      </c>
      <c r="C606" s="16" t="s">
        <v>612</v>
      </c>
      <c r="D606" s="12" t="s">
        <v>26</v>
      </c>
      <c r="E606" s="13" t="s">
        <v>19</v>
      </c>
      <c r="F606" s="14">
        <v>0.026956018518518518</v>
      </c>
      <c r="G606" s="21"/>
    </row>
    <row r="607">
      <c r="A607" s="4" t="s">
        <v>582</v>
      </c>
      <c r="B607" s="10">
        <v>2833091.0</v>
      </c>
      <c r="C607" s="16" t="s">
        <v>613</v>
      </c>
      <c r="D607" s="12" t="s">
        <v>26</v>
      </c>
      <c r="E607" s="13" t="s">
        <v>19</v>
      </c>
      <c r="F607" s="14">
        <v>0.044641203703703704</v>
      </c>
      <c r="G607" s="21"/>
    </row>
    <row r="608">
      <c r="A608" s="4" t="s">
        <v>582</v>
      </c>
      <c r="B608" s="10">
        <v>2840016.0</v>
      </c>
      <c r="C608" s="16" t="s">
        <v>614</v>
      </c>
      <c r="D608" s="12" t="s">
        <v>26</v>
      </c>
      <c r="E608" s="13" t="s">
        <v>19</v>
      </c>
      <c r="F608" s="14">
        <v>0.03221064814814815</v>
      </c>
      <c r="G608" s="21"/>
    </row>
    <row r="609">
      <c r="A609" s="4" t="s">
        <v>582</v>
      </c>
      <c r="B609" s="10">
        <v>2824376.0</v>
      </c>
      <c r="C609" s="16" t="s">
        <v>615</v>
      </c>
      <c r="D609" s="12" t="s">
        <v>26</v>
      </c>
      <c r="E609" s="13" t="s">
        <v>19</v>
      </c>
      <c r="F609" s="14">
        <v>0.020775462962962964</v>
      </c>
      <c r="G609" s="21"/>
    </row>
    <row r="610">
      <c r="A610" s="4" t="s">
        <v>582</v>
      </c>
      <c r="B610" s="10">
        <v>2824108.0</v>
      </c>
      <c r="C610" s="16" t="s">
        <v>616</v>
      </c>
      <c r="D610" s="12" t="s">
        <v>26</v>
      </c>
      <c r="E610" s="13" t="s">
        <v>19</v>
      </c>
      <c r="F610" s="14">
        <v>0.025798611111111112</v>
      </c>
      <c r="G610" s="21"/>
    </row>
    <row r="611">
      <c r="A611" s="4" t="s">
        <v>582</v>
      </c>
      <c r="B611" s="10">
        <v>5030976.0</v>
      </c>
      <c r="C611" s="16" t="s">
        <v>617</v>
      </c>
      <c r="D611" s="12" t="s">
        <v>26</v>
      </c>
      <c r="E611" s="13" t="s">
        <v>19</v>
      </c>
      <c r="F611" s="14">
        <v>0.05987268518518519</v>
      </c>
      <c r="G611" s="21"/>
    </row>
    <row r="612">
      <c r="A612" s="4" t="s">
        <v>582</v>
      </c>
      <c r="B612" s="10">
        <v>782124.0</v>
      </c>
      <c r="C612" s="16" t="s">
        <v>618</v>
      </c>
      <c r="D612" s="12" t="s">
        <v>26</v>
      </c>
      <c r="E612" s="13" t="s">
        <v>19</v>
      </c>
      <c r="F612" s="14">
        <v>0.03564814814814815</v>
      </c>
      <c r="G612" s="21"/>
    </row>
    <row r="613">
      <c r="A613" s="4" t="s">
        <v>582</v>
      </c>
      <c r="B613" s="10">
        <v>138322.0</v>
      </c>
      <c r="C613" s="16" t="s">
        <v>619</v>
      </c>
      <c r="D613" s="12" t="s">
        <v>26</v>
      </c>
      <c r="E613" s="13" t="s">
        <v>19</v>
      </c>
      <c r="F613" s="14">
        <v>0.0409375</v>
      </c>
      <c r="G613" s="21"/>
    </row>
    <row r="614">
      <c r="A614" s="4" t="s">
        <v>582</v>
      </c>
      <c r="B614" s="10">
        <v>774900.0</v>
      </c>
      <c r="C614" s="16" t="s">
        <v>620</v>
      </c>
      <c r="D614" s="12" t="s">
        <v>26</v>
      </c>
      <c r="E614" s="13" t="s">
        <v>26</v>
      </c>
      <c r="F614" s="14">
        <v>0.2559606481481482</v>
      </c>
      <c r="G614" s="21"/>
    </row>
    <row r="615">
      <c r="A615" s="4" t="s">
        <v>582</v>
      </c>
      <c r="B615" s="10">
        <v>706920.0</v>
      </c>
      <c r="C615" s="16" t="s">
        <v>593</v>
      </c>
      <c r="D615" s="12" t="s">
        <v>26</v>
      </c>
      <c r="E615" s="13" t="s">
        <v>26</v>
      </c>
      <c r="F615" s="14">
        <v>0.041400462962962965</v>
      </c>
      <c r="G615" s="21"/>
    </row>
    <row r="616">
      <c r="A616" s="4" t="s">
        <v>582</v>
      </c>
      <c r="B616" s="10">
        <v>2839072.0</v>
      </c>
      <c r="C616" s="16" t="s">
        <v>621</v>
      </c>
      <c r="D616" s="12" t="s">
        <v>26</v>
      </c>
      <c r="E616" s="13" t="s">
        <v>26</v>
      </c>
      <c r="F616" s="14">
        <v>0.022893518518518518</v>
      </c>
      <c r="G616" s="21"/>
    </row>
    <row r="617">
      <c r="A617" s="4" t="s">
        <v>582</v>
      </c>
      <c r="B617" s="10">
        <v>2831007.0</v>
      </c>
      <c r="C617" s="16" t="s">
        <v>622</v>
      </c>
      <c r="D617" s="12" t="s">
        <v>26</v>
      </c>
      <c r="E617" s="13" t="s">
        <v>26</v>
      </c>
      <c r="F617" s="14">
        <v>0.046689814814814816</v>
      </c>
      <c r="G617" s="21"/>
    </row>
    <row r="618">
      <c r="A618" s="4" t="s">
        <v>582</v>
      </c>
      <c r="B618" s="10">
        <v>2823037.0</v>
      </c>
      <c r="C618" s="16" t="s">
        <v>623</v>
      </c>
      <c r="D618" s="12" t="s">
        <v>26</v>
      </c>
      <c r="E618" s="13" t="s">
        <v>26</v>
      </c>
      <c r="F618" s="14">
        <v>0.04313657407407408</v>
      </c>
      <c r="G618" s="21"/>
    </row>
    <row r="619">
      <c r="A619" s="4" t="s">
        <v>582</v>
      </c>
      <c r="B619" s="10">
        <v>2825163.0</v>
      </c>
      <c r="C619" s="16" t="s">
        <v>624</v>
      </c>
      <c r="D619" s="12" t="s">
        <v>26</v>
      </c>
      <c r="E619" s="13" t="s">
        <v>26</v>
      </c>
      <c r="F619" s="14">
        <v>0.01744212962962963</v>
      </c>
      <c r="G619" s="21"/>
    </row>
    <row r="620">
      <c r="A620" s="4" t="s">
        <v>582</v>
      </c>
      <c r="B620" s="10">
        <v>2804662.0</v>
      </c>
      <c r="C620" s="16" t="s">
        <v>625</v>
      </c>
      <c r="D620" s="12" t="s">
        <v>26</v>
      </c>
      <c r="E620" s="13" t="s">
        <v>26</v>
      </c>
      <c r="F620" s="14">
        <v>0.05619212962962963</v>
      </c>
      <c r="G620" s="21"/>
    </row>
    <row r="621">
      <c r="A621" s="4" t="s">
        <v>582</v>
      </c>
      <c r="B621" s="10">
        <v>2836030.0</v>
      </c>
      <c r="C621" s="16" t="s">
        <v>626</v>
      </c>
      <c r="D621" s="12" t="s">
        <v>26</v>
      </c>
      <c r="E621" s="13" t="s">
        <v>26</v>
      </c>
      <c r="F621" s="14">
        <v>0.014027777777777778</v>
      </c>
      <c r="G621" s="21"/>
    </row>
    <row r="622">
      <c r="A622" s="4" t="s">
        <v>582</v>
      </c>
      <c r="B622" s="10">
        <v>2841399.0</v>
      </c>
      <c r="C622" s="16" t="s">
        <v>627</v>
      </c>
      <c r="D622" s="12" t="s">
        <v>26</v>
      </c>
      <c r="E622" s="13" t="s">
        <v>26</v>
      </c>
      <c r="F622" s="14">
        <v>0.02912037037037037</v>
      </c>
      <c r="G622" s="21"/>
    </row>
    <row r="623">
      <c r="A623" s="4" t="s">
        <v>582</v>
      </c>
      <c r="B623" s="10">
        <v>2887259.0</v>
      </c>
      <c r="C623" s="16" t="s">
        <v>628</v>
      </c>
      <c r="D623" s="12" t="s">
        <v>26</v>
      </c>
      <c r="E623" s="13" t="s">
        <v>26</v>
      </c>
      <c r="F623" s="14">
        <v>0.032789351851851854</v>
      </c>
      <c r="G623" s="21"/>
    </row>
    <row r="624">
      <c r="A624" s="4" t="s">
        <v>582</v>
      </c>
      <c r="B624" s="10">
        <v>2423502.0</v>
      </c>
      <c r="C624" s="16" t="s">
        <v>629</v>
      </c>
      <c r="D624" s="12" t="s">
        <v>26</v>
      </c>
      <c r="E624" s="13" t="s">
        <v>26</v>
      </c>
      <c r="F624" s="14">
        <v>0.02634259259259259</v>
      </c>
      <c r="G624" s="21"/>
    </row>
    <row r="625">
      <c r="A625" s="4" t="s">
        <v>582</v>
      </c>
      <c r="B625" s="10">
        <v>3013038.0</v>
      </c>
      <c r="C625" s="16" t="s">
        <v>630</v>
      </c>
      <c r="D625" s="12" t="s">
        <v>26</v>
      </c>
      <c r="E625" s="13" t="s">
        <v>26</v>
      </c>
      <c r="F625" s="14">
        <v>0.01412037037037037</v>
      </c>
      <c r="G625" s="21"/>
    </row>
    <row r="626">
      <c r="A626" s="4" t="s">
        <v>582</v>
      </c>
      <c r="B626" s="10">
        <v>2873280.0</v>
      </c>
      <c r="C626" s="16" t="s">
        <v>631</v>
      </c>
      <c r="D626" s="12" t="s">
        <v>26</v>
      </c>
      <c r="E626" s="13" t="s">
        <v>26</v>
      </c>
      <c r="F626" s="14">
        <v>0.039108796296296294</v>
      </c>
      <c r="G626" s="21"/>
    </row>
    <row r="627">
      <c r="A627" s="4" t="s">
        <v>582</v>
      </c>
      <c r="B627" s="10">
        <v>2880063.0</v>
      </c>
      <c r="C627" s="16" t="s">
        <v>632</v>
      </c>
      <c r="D627" s="12" t="s">
        <v>26</v>
      </c>
      <c r="E627" s="13" t="s">
        <v>26</v>
      </c>
      <c r="F627" s="14">
        <v>0.045162037037037035</v>
      </c>
      <c r="G627" s="21"/>
    </row>
    <row r="628">
      <c r="A628" s="4" t="s">
        <v>582</v>
      </c>
      <c r="B628" s="10">
        <v>2885072.0</v>
      </c>
      <c r="C628" s="16" t="s">
        <v>633</v>
      </c>
      <c r="D628" s="12" t="s">
        <v>26</v>
      </c>
      <c r="E628" s="13" t="s">
        <v>26</v>
      </c>
      <c r="F628" s="14">
        <v>0.03450231481481481</v>
      </c>
      <c r="G628" s="21"/>
    </row>
    <row r="629">
      <c r="A629" s="4" t="s">
        <v>582</v>
      </c>
      <c r="B629" s="10">
        <v>2841547.0</v>
      </c>
      <c r="C629" s="16" t="s">
        <v>634</v>
      </c>
      <c r="D629" s="12" t="s">
        <v>26</v>
      </c>
      <c r="E629" s="13" t="s">
        <v>15</v>
      </c>
      <c r="F629" s="14">
        <v>0.018090277777777778</v>
      </c>
      <c r="G629" s="21"/>
    </row>
    <row r="630">
      <c r="A630" s="4" t="s">
        <v>582</v>
      </c>
      <c r="B630" s="10">
        <v>718627.0</v>
      </c>
      <c r="C630" s="16" t="s">
        <v>223</v>
      </c>
      <c r="D630" s="12" t="s">
        <v>26</v>
      </c>
      <c r="E630" s="13" t="s">
        <v>15</v>
      </c>
      <c r="F630" s="14">
        <v>0.051597222222222225</v>
      </c>
      <c r="G630" s="21"/>
    </row>
    <row r="631">
      <c r="A631" s="4" t="s">
        <v>582</v>
      </c>
      <c r="B631" s="10">
        <v>2824253.0</v>
      </c>
      <c r="C631" s="16" t="s">
        <v>635</v>
      </c>
      <c r="D631" s="12" t="s">
        <v>26</v>
      </c>
      <c r="E631" s="13" t="s">
        <v>15</v>
      </c>
      <c r="F631" s="14">
        <v>0.01712962962962963</v>
      </c>
      <c r="G631" s="21"/>
    </row>
    <row r="632">
      <c r="A632" s="4" t="s">
        <v>582</v>
      </c>
      <c r="B632" s="10">
        <v>2836022.0</v>
      </c>
      <c r="C632" s="16" t="s">
        <v>636</v>
      </c>
      <c r="D632" s="12" t="s">
        <v>26</v>
      </c>
      <c r="E632" s="13" t="s">
        <v>15</v>
      </c>
      <c r="F632" s="14">
        <v>0.04055555555555555</v>
      </c>
      <c r="G632" s="21"/>
    </row>
    <row r="633">
      <c r="A633" s="4" t="s">
        <v>582</v>
      </c>
      <c r="B633" s="10">
        <v>2837260.0</v>
      </c>
      <c r="C633" s="16" t="s">
        <v>637</v>
      </c>
      <c r="D633" s="12" t="s">
        <v>26</v>
      </c>
      <c r="E633" s="13" t="s">
        <v>15</v>
      </c>
      <c r="F633" s="14">
        <v>0.006631944444444445</v>
      </c>
      <c r="G633" s="21"/>
    </row>
    <row r="634">
      <c r="A634" s="4" t="s">
        <v>638</v>
      </c>
      <c r="B634" s="5" t="s">
        <v>8</v>
      </c>
      <c r="C634" s="6" t="s">
        <v>9</v>
      </c>
      <c r="D634" s="7" t="s">
        <v>3</v>
      </c>
      <c r="E634" s="7" t="s">
        <v>10</v>
      </c>
      <c r="F634" s="8" t="s">
        <v>11</v>
      </c>
      <c r="G634" s="9" t="s">
        <v>12</v>
      </c>
    </row>
    <row r="635">
      <c r="A635" s="4" t="s">
        <v>638</v>
      </c>
      <c r="B635" s="10">
        <v>740417.0</v>
      </c>
      <c r="C635" s="16" t="s">
        <v>430</v>
      </c>
      <c r="D635" s="12" t="s">
        <v>14</v>
      </c>
      <c r="E635" s="13" t="s">
        <v>38</v>
      </c>
      <c r="F635" s="14">
        <v>0.030462962962962963</v>
      </c>
      <c r="G635" s="15" t="s">
        <v>639</v>
      </c>
    </row>
    <row r="636">
      <c r="A636" s="4" t="s">
        <v>638</v>
      </c>
      <c r="B636" s="10">
        <v>782126.0</v>
      </c>
      <c r="C636" s="16" t="s">
        <v>640</v>
      </c>
      <c r="D636" s="12" t="s">
        <v>14</v>
      </c>
      <c r="E636" s="13" t="s">
        <v>26</v>
      </c>
      <c r="F636" s="14">
        <v>0.012291666666666666</v>
      </c>
      <c r="G636" s="15" t="s">
        <v>24</v>
      </c>
    </row>
    <row r="637">
      <c r="A637" s="4" t="s">
        <v>638</v>
      </c>
      <c r="B637" s="10">
        <v>3006555.0</v>
      </c>
      <c r="C637" s="16" t="s">
        <v>641</v>
      </c>
      <c r="D637" s="12" t="s">
        <v>18</v>
      </c>
      <c r="E637" s="13" t="s">
        <v>109</v>
      </c>
      <c r="F637" s="14">
        <v>0.04493055555555556</v>
      </c>
      <c r="G637" s="15" t="s">
        <v>642</v>
      </c>
    </row>
    <row r="638">
      <c r="A638" s="4" t="s">
        <v>638</v>
      </c>
      <c r="B638" s="10">
        <v>661749.0</v>
      </c>
      <c r="C638" s="16" t="s">
        <v>25</v>
      </c>
      <c r="D638" s="12" t="s">
        <v>18</v>
      </c>
      <c r="E638" s="13" t="s">
        <v>26</v>
      </c>
      <c r="F638" s="14">
        <v>0.02443287037037037</v>
      </c>
      <c r="G638" s="15" t="s">
        <v>116</v>
      </c>
    </row>
    <row r="639">
      <c r="A639" s="4" t="s">
        <v>638</v>
      </c>
      <c r="B639" s="10">
        <v>373992.0</v>
      </c>
      <c r="C639" s="16" t="s">
        <v>643</v>
      </c>
      <c r="D639" s="12" t="s">
        <v>18</v>
      </c>
      <c r="E639" s="13" t="s">
        <v>15</v>
      </c>
      <c r="F639" s="14">
        <v>0.03484953703703704</v>
      </c>
      <c r="G639" s="15"/>
    </row>
    <row r="640">
      <c r="A640" s="4" t="s">
        <v>638</v>
      </c>
      <c r="B640" s="10">
        <v>5015873.0</v>
      </c>
      <c r="C640" s="16" t="s">
        <v>644</v>
      </c>
      <c r="D640" s="12" t="s">
        <v>18</v>
      </c>
      <c r="E640" s="13" t="s">
        <v>15</v>
      </c>
      <c r="F640" s="14">
        <v>0.0096875</v>
      </c>
      <c r="G640" s="21"/>
    </row>
    <row r="641">
      <c r="A641" s="4" t="s">
        <v>638</v>
      </c>
      <c r="B641" s="10">
        <v>2881075.0</v>
      </c>
      <c r="C641" s="16" t="s">
        <v>313</v>
      </c>
      <c r="D641" s="12" t="s">
        <v>34</v>
      </c>
      <c r="E641" s="13" t="s">
        <v>109</v>
      </c>
      <c r="F641" s="14">
        <v>0.032060185185185185</v>
      </c>
      <c r="G641" s="21"/>
    </row>
    <row r="642">
      <c r="A642" s="4" t="s">
        <v>638</v>
      </c>
      <c r="B642" s="10">
        <v>2890118.0</v>
      </c>
      <c r="C642" s="16" t="s">
        <v>645</v>
      </c>
      <c r="D642" s="12" t="s">
        <v>34</v>
      </c>
      <c r="E642" s="13" t="s">
        <v>38</v>
      </c>
      <c r="F642" s="14">
        <v>0.042638888888888886</v>
      </c>
      <c r="G642" s="21"/>
    </row>
    <row r="643">
      <c r="A643" s="4" t="s">
        <v>638</v>
      </c>
      <c r="B643" s="10">
        <v>2883063.0</v>
      </c>
      <c r="C643" s="16" t="s">
        <v>646</v>
      </c>
      <c r="D643" s="12" t="s">
        <v>34</v>
      </c>
      <c r="E643" s="13" t="s">
        <v>15</v>
      </c>
      <c r="F643" s="14">
        <v>0.040775462962962965</v>
      </c>
      <c r="G643" s="21"/>
    </row>
    <row r="644">
      <c r="A644" s="4" t="s">
        <v>638</v>
      </c>
      <c r="B644" s="10">
        <v>685022.0</v>
      </c>
      <c r="C644" s="16" t="s">
        <v>599</v>
      </c>
      <c r="D644" s="12" t="s">
        <v>34</v>
      </c>
      <c r="E644" s="13" t="s">
        <v>15</v>
      </c>
      <c r="F644" s="14">
        <v>0.02158564814814815</v>
      </c>
      <c r="G644" s="21"/>
    </row>
    <row r="645">
      <c r="A645" s="4" t="s">
        <v>638</v>
      </c>
      <c r="B645" s="10">
        <v>2833051.0</v>
      </c>
      <c r="C645" s="16" t="s">
        <v>647</v>
      </c>
      <c r="D645" s="12" t="s">
        <v>34</v>
      </c>
      <c r="E645" s="13" t="s">
        <v>15</v>
      </c>
      <c r="F645" s="14">
        <v>0.02175925925925926</v>
      </c>
      <c r="G645" s="21"/>
    </row>
    <row r="646">
      <c r="A646" s="4" t="s">
        <v>638</v>
      </c>
      <c r="B646" s="10">
        <v>778180.0</v>
      </c>
      <c r="C646" s="16" t="s">
        <v>320</v>
      </c>
      <c r="D646" s="12" t="s">
        <v>34</v>
      </c>
      <c r="E646" s="13" t="s">
        <v>15</v>
      </c>
      <c r="F646" s="14">
        <v>0.023703703703703703</v>
      </c>
      <c r="G646" s="21"/>
    </row>
    <row r="647">
      <c r="A647" s="4" t="s">
        <v>638</v>
      </c>
      <c r="B647" s="10">
        <v>3156782.0</v>
      </c>
      <c r="C647" s="16" t="s">
        <v>648</v>
      </c>
      <c r="D647" s="12" t="s">
        <v>34</v>
      </c>
      <c r="E647" s="13" t="s">
        <v>15</v>
      </c>
      <c r="F647" s="14">
        <v>0.023773148148148147</v>
      </c>
      <c r="G647" s="31"/>
    </row>
    <row r="648">
      <c r="A648" s="4" t="s">
        <v>638</v>
      </c>
      <c r="B648" s="10">
        <v>3000781.0</v>
      </c>
      <c r="C648" s="16" t="s">
        <v>649</v>
      </c>
      <c r="D648" s="12" t="s">
        <v>34</v>
      </c>
      <c r="E648" s="13" t="s">
        <v>26</v>
      </c>
      <c r="F648" s="14">
        <v>0.033136574074074075</v>
      </c>
      <c r="G648" s="31"/>
    </row>
    <row r="649">
      <c r="A649" s="4" t="s">
        <v>638</v>
      </c>
      <c r="B649" s="10">
        <v>2813143.0</v>
      </c>
      <c r="C649" s="16" t="s">
        <v>650</v>
      </c>
      <c r="D649" s="12" t="s">
        <v>26</v>
      </c>
      <c r="E649" s="13" t="s">
        <v>109</v>
      </c>
      <c r="F649" s="14">
        <v>0.039456018518518515</v>
      </c>
      <c r="G649" s="31"/>
    </row>
    <row r="650">
      <c r="A650" s="4" t="s">
        <v>638</v>
      </c>
      <c r="B650" s="10">
        <v>2851002.0</v>
      </c>
      <c r="C650" s="16" t="s">
        <v>651</v>
      </c>
      <c r="D650" s="12" t="s">
        <v>26</v>
      </c>
      <c r="E650" s="13" t="s">
        <v>109</v>
      </c>
      <c r="F650" s="14">
        <v>0.01866898148148148</v>
      </c>
      <c r="G650" s="31"/>
    </row>
    <row r="651">
      <c r="A651" s="4" t="s">
        <v>638</v>
      </c>
      <c r="B651" s="10">
        <v>661751.0</v>
      </c>
      <c r="C651" s="16" t="s">
        <v>39</v>
      </c>
      <c r="D651" s="12" t="s">
        <v>26</v>
      </c>
      <c r="E651" s="13" t="s">
        <v>38</v>
      </c>
      <c r="F651" s="14">
        <v>0.021296296296296296</v>
      </c>
      <c r="G651" s="21"/>
    </row>
    <row r="652">
      <c r="A652" s="4" t="s">
        <v>638</v>
      </c>
      <c r="B652" s="10">
        <v>114903.0</v>
      </c>
      <c r="C652" s="16" t="s">
        <v>652</v>
      </c>
      <c r="D652" s="12" t="s">
        <v>26</v>
      </c>
      <c r="E652" s="13" t="s">
        <v>38</v>
      </c>
      <c r="F652" s="14">
        <v>0.4404398148148148</v>
      </c>
      <c r="G652" s="21"/>
    </row>
    <row r="653">
      <c r="A653" s="4" t="s">
        <v>638</v>
      </c>
      <c r="B653" s="10">
        <v>365729.0</v>
      </c>
      <c r="C653" s="16" t="s">
        <v>653</v>
      </c>
      <c r="D653" s="12" t="s">
        <v>26</v>
      </c>
      <c r="E653" s="13" t="s">
        <v>38</v>
      </c>
      <c r="F653" s="14">
        <v>0.05466435185185185</v>
      </c>
      <c r="G653" s="22"/>
    </row>
    <row r="654">
      <c r="A654" s="4" t="s">
        <v>638</v>
      </c>
      <c r="B654" s="10">
        <v>155342.0</v>
      </c>
      <c r="C654" s="16" t="s">
        <v>41</v>
      </c>
      <c r="D654" s="12" t="s">
        <v>26</v>
      </c>
      <c r="E654" s="13" t="s">
        <v>38</v>
      </c>
      <c r="F654" s="14">
        <v>0.025034722222222222</v>
      </c>
      <c r="G654" s="21"/>
    </row>
    <row r="655">
      <c r="A655" s="4" t="s">
        <v>638</v>
      </c>
      <c r="B655" s="10">
        <v>2816034.0</v>
      </c>
      <c r="C655" s="16" t="s">
        <v>654</v>
      </c>
      <c r="D655" s="12" t="s">
        <v>26</v>
      </c>
      <c r="E655" s="13" t="s">
        <v>38</v>
      </c>
      <c r="F655" s="14">
        <v>0.02587962962962963</v>
      </c>
      <c r="G655" s="21"/>
    </row>
    <row r="656">
      <c r="A656" s="4" t="s">
        <v>638</v>
      </c>
      <c r="B656" s="10">
        <v>2823137.0</v>
      </c>
      <c r="C656" s="16" t="s">
        <v>655</v>
      </c>
      <c r="D656" s="12" t="s">
        <v>26</v>
      </c>
      <c r="E656" s="13" t="s">
        <v>38</v>
      </c>
      <c r="F656" s="14">
        <v>0.02091435185185185</v>
      </c>
      <c r="G656" s="21"/>
    </row>
    <row r="657">
      <c r="A657" s="4" t="s">
        <v>638</v>
      </c>
      <c r="B657" s="10">
        <v>2881017.0</v>
      </c>
      <c r="C657" s="16" t="s">
        <v>656</v>
      </c>
      <c r="D657" s="12" t="s">
        <v>26</v>
      </c>
      <c r="E657" s="13" t="s">
        <v>38</v>
      </c>
      <c r="F657" s="14">
        <v>0.03546296296296296</v>
      </c>
      <c r="G657" s="21"/>
    </row>
    <row r="658">
      <c r="A658" s="4" t="s">
        <v>638</v>
      </c>
      <c r="B658" s="10">
        <v>2423652.0</v>
      </c>
      <c r="C658" s="16" t="s">
        <v>143</v>
      </c>
      <c r="D658" s="12" t="s">
        <v>26</v>
      </c>
      <c r="E658" s="13" t="s">
        <v>38</v>
      </c>
      <c r="F658" s="14">
        <v>0.010185185185185186</v>
      </c>
      <c r="G658" s="21"/>
    </row>
    <row r="659">
      <c r="A659" s="4" t="s">
        <v>638</v>
      </c>
      <c r="B659" s="10">
        <v>2427506.0</v>
      </c>
      <c r="C659" s="16" t="s">
        <v>657</v>
      </c>
      <c r="D659" s="12" t="s">
        <v>26</v>
      </c>
      <c r="E659" s="13" t="s">
        <v>38</v>
      </c>
      <c r="F659" s="14">
        <v>0.01615740740740741</v>
      </c>
      <c r="G659" s="21"/>
    </row>
    <row r="660">
      <c r="A660" s="4" t="s">
        <v>638</v>
      </c>
      <c r="B660" s="10">
        <v>2448228.0</v>
      </c>
      <c r="C660" s="16" t="s">
        <v>658</v>
      </c>
      <c r="D660" s="12" t="s">
        <v>26</v>
      </c>
      <c r="E660" s="13" t="s">
        <v>38</v>
      </c>
      <c r="F660" s="14">
        <v>0.023287037037037037</v>
      </c>
      <c r="G660" s="21"/>
    </row>
    <row r="661">
      <c r="A661" s="4" t="s">
        <v>638</v>
      </c>
      <c r="B661" s="10">
        <v>2451149.0</v>
      </c>
      <c r="C661" s="16" t="s">
        <v>659</v>
      </c>
      <c r="D661" s="12" t="s">
        <v>26</v>
      </c>
      <c r="E661" s="13" t="s">
        <v>38</v>
      </c>
      <c r="F661" s="14">
        <v>0.03680555555555556</v>
      </c>
      <c r="G661" s="21"/>
    </row>
    <row r="662">
      <c r="A662" s="4" t="s">
        <v>638</v>
      </c>
      <c r="B662" s="10">
        <v>2824108.0</v>
      </c>
      <c r="C662" s="16" t="s">
        <v>616</v>
      </c>
      <c r="D662" s="12" t="s">
        <v>26</v>
      </c>
      <c r="E662" s="13" t="s">
        <v>19</v>
      </c>
      <c r="F662" s="14">
        <v>0.025798611111111112</v>
      </c>
      <c r="G662" s="21"/>
    </row>
    <row r="663">
      <c r="A663" s="4" t="s">
        <v>638</v>
      </c>
      <c r="B663" s="10">
        <v>170777.0</v>
      </c>
      <c r="C663" s="16" t="s">
        <v>80</v>
      </c>
      <c r="D663" s="12" t="s">
        <v>26</v>
      </c>
      <c r="E663" s="13" t="s">
        <v>26</v>
      </c>
      <c r="F663" s="14">
        <v>0.023900462962962964</v>
      </c>
      <c r="G663" s="21"/>
    </row>
    <row r="664">
      <c r="A664" s="4" t="s">
        <v>638</v>
      </c>
      <c r="B664" s="10">
        <v>424116.0</v>
      </c>
      <c r="C664" s="16" t="s">
        <v>660</v>
      </c>
      <c r="D664" s="12" t="s">
        <v>26</v>
      </c>
      <c r="E664" s="13" t="s">
        <v>26</v>
      </c>
      <c r="F664" s="14">
        <v>0.04138888888888889</v>
      </c>
      <c r="G664" s="21"/>
    </row>
    <row r="665">
      <c r="A665" s="4" t="s">
        <v>638</v>
      </c>
      <c r="B665" s="10">
        <v>718628.0</v>
      </c>
      <c r="C665" s="16" t="s">
        <v>151</v>
      </c>
      <c r="D665" s="12" t="s">
        <v>26</v>
      </c>
      <c r="E665" s="13" t="s">
        <v>26</v>
      </c>
      <c r="F665" s="14">
        <v>0.0409375</v>
      </c>
      <c r="G665" s="21"/>
    </row>
    <row r="666">
      <c r="A666" s="4" t="s">
        <v>638</v>
      </c>
      <c r="B666" s="10">
        <v>777381.0</v>
      </c>
      <c r="C666" s="16" t="s">
        <v>81</v>
      </c>
      <c r="D666" s="12" t="s">
        <v>26</v>
      </c>
      <c r="E666" s="13" t="s">
        <v>26</v>
      </c>
      <c r="F666" s="14">
        <v>0.03805555555555556</v>
      </c>
      <c r="G666" s="21"/>
    </row>
    <row r="667">
      <c r="A667" s="4" t="s">
        <v>638</v>
      </c>
      <c r="B667" s="10">
        <v>718618.0</v>
      </c>
      <c r="C667" s="16" t="s">
        <v>82</v>
      </c>
      <c r="D667" s="12" t="s">
        <v>26</v>
      </c>
      <c r="E667" s="13" t="s">
        <v>26</v>
      </c>
      <c r="F667" s="14">
        <v>0.03596064814814815</v>
      </c>
      <c r="G667" s="21"/>
    </row>
    <row r="668">
      <c r="A668" s="4" t="s">
        <v>638</v>
      </c>
      <c r="B668" s="10">
        <v>458641.0</v>
      </c>
      <c r="C668" s="16" t="s">
        <v>661</v>
      </c>
      <c r="D668" s="12" t="s">
        <v>26</v>
      </c>
      <c r="E668" s="13" t="s">
        <v>26</v>
      </c>
      <c r="F668" s="14">
        <v>0.039375</v>
      </c>
      <c r="G668" s="21"/>
    </row>
    <row r="669">
      <c r="A669" s="4" t="s">
        <v>638</v>
      </c>
      <c r="B669" s="10">
        <v>363225.0</v>
      </c>
      <c r="C669" s="16" t="s">
        <v>150</v>
      </c>
      <c r="D669" s="12" t="s">
        <v>26</v>
      </c>
      <c r="E669" s="13" t="s">
        <v>26</v>
      </c>
      <c r="F669" s="14">
        <v>0.018078703703703704</v>
      </c>
      <c r="G669" s="21"/>
    </row>
    <row r="670">
      <c r="A670" s="4" t="s">
        <v>638</v>
      </c>
      <c r="B670" s="10">
        <v>737763.0</v>
      </c>
      <c r="C670" s="16" t="s">
        <v>84</v>
      </c>
      <c r="D670" s="12" t="s">
        <v>26</v>
      </c>
      <c r="E670" s="13" t="s">
        <v>26</v>
      </c>
      <c r="F670" s="14">
        <v>0.02599537037037037</v>
      </c>
      <c r="G670" s="21"/>
    </row>
    <row r="671">
      <c r="A671" s="4" t="s">
        <v>638</v>
      </c>
      <c r="B671" s="10">
        <v>669533.0</v>
      </c>
      <c r="C671" s="16" t="s">
        <v>662</v>
      </c>
      <c r="D671" s="12" t="s">
        <v>26</v>
      </c>
      <c r="E671" s="13" t="s">
        <v>26</v>
      </c>
      <c r="F671" s="14">
        <v>0.014421296296296297</v>
      </c>
      <c r="G671" s="21"/>
    </row>
    <row r="672">
      <c r="A672" s="4" t="s">
        <v>638</v>
      </c>
      <c r="B672" s="10">
        <v>728377.0</v>
      </c>
      <c r="C672" s="16" t="s">
        <v>663</v>
      </c>
      <c r="D672" s="12" t="s">
        <v>26</v>
      </c>
      <c r="E672" s="13" t="s">
        <v>26</v>
      </c>
      <c r="F672" s="14">
        <v>0.01730324074074074</v>
      </c>
      <c r="G672" s="21"/>
    </row>
    <row r="673">
      <c r="A673" s="4" t="s">
        <v>638</v>
      </c>
      <c r="B673" s="10">
        <v>387349.0</v>
      </c>
      <c r="C673" s="16" t="s">
        <v>83</v>
      </c>
      <c r="D673" s="12" t="s">
        <v>26</v>
      </c>
      <c r="E673" s="13" t="s">
        <v>26</v>
      </c>
      <c r="F673" s="14">
        <v>0.033796296296296297</v>
      </c>
      <c r="G673" s="21"/>
    </row>
    <row r="674">
      <c r="A674" s="4" t="s">
        <v>638</v>
      </c>
      <c r="B674" s="10">
        <v>5015863.0</v>
      </c>
      <c r="C674" s="16" t="s">
        <v>664</v>
      </c>
      <c r="D674" s="12" t="s">
        <v>26</v>
      </c>
      <c r="E674" s="13" t="s">
        <v>26</v>
      </c>
      <c r="F674" s="14">
        <v>0.015127314814814816</v>
      </c>
      <c r="G674" s="21"/>
    </row>
    <row r="675">
      <c r="A675" s="4" t="s">
        <v>638</v>
      </c>
      <c r="B675" s="10">
        <v>2837270.0</v>
      </c>
      <c r="C675" s="16" t="s">
        <v>665</v>
      </c>
      <c r="D675" s="12" t="s">
        <v>26</v>
      </c>
      <c r="E675" s="13" t="s">
        <v>26</v>
      </c>
      <c r="F675" s="14">
        <v>0.010960648148148148</v>
      </c>
      <c r="G675" s="21"/>
    </row>
    <row r="676">
      <c r="A676" s="4" t="s">
        <v>638</v>
      </c>
      <c r="B676" s="10">
        <v>2241056.0</v>
      </c>
      <c r="C676" s="16" t="s">
        <v>666</v>
      </c>
      <c r="D676" s="12" t="s">
        <v>26</v>
      </c>
      <c r="E676" s="13" t="s">
        <v>26</v>
      </c>
      <c r="F676" s="14">
        <v>0.005787037037037037</v>
      </c>
      <c r="G676" s="21"/>
    </row>
    <row r="677">
      <c r="A677" s="4" t="s">
        <v>638</v>
      </c>
      <c r="B677" s="10">
        <v>2885199.0</v>
      </c>
      <c r="C677" s="16" t="s">
        <v>667</v>
      </c>
      <c r="D677" s="12" t="s">
        <v>26</v>
      </c>
      <c r="E677" s="13" t="s">
        <v>26</v>
      </c>
      <c r="F677" s="14">
        <v>0.031435185185185184</v>
      </c>
      <c r="G677" s="21"/>
    </row>
    <row r="678">
      <c r="A678" s="4" t="s">
        <v>638</v>
      </c>
      <c r="B678" s="10">
        <v>2423502.0</v>
      </c>
      <c r="C678" s="16" t="s">
        <v>629</v>
      </c>
      <c r="D678" s="12" t="s">
        <v>26</v>
      </c>
      <c r="E678" s="13" t="s">
        <v>26</v>
      </c>
      <c r="F678" s="14">
        <v>0.02634259259259259</v>
      </c>
      <c r="G678" s="21"/>
    </row>
    <row r="679">
      <c r="A679" s="4" t="s">
        <v>638</v>
      </c>
      <c r="B679" s="10">
        <v>2882045.0</v>
      </c>
      <c r="C679" s="16" t="s">
        <v>668</v>
      </c>
      <c r="D679" s="12" t="s">
        <v>26</v>
      </c>
      <c r="E679" s="13" t="s">
        <v>26</v>
      </c>
      <c r="F679" s="14">
        <v>0.019363425925925926</v>
      </c>
      <c r="G679" s="21"/>
    </row>
    <row r="680">
      <c r="A680" s="4" t="s">
        <v>638</v>
      </c>
      <c r="B680" s="10">
        <v>3010106.0</v>
      </c>
      <c r="C680" s="16" t="s">
        <v>669</v>
      </c>
      <c r="D680" s="12" t="s">
        <v>26</v>
      </c>
      <c r="E680" s="13" t="s">
        <v>26</v>
      </c>
      <c r="F680" s="14">
        <v>0.009756944444444445</v>
      </c>
      <c r="G680" s="21"/>
    </row>
    <row r="681">
      <c r="A681" s="4" t="s">
        <v>638</v>
      </c>
      <c r="B681" s="10">
        <v>3010107.0</v>
      </c>
      <c r="C681" s="16" t="s">
        <v>670</v>
      </c>
      <c r="D681" s="12" t="s">
        <v>26</v>
      </c>
      <c r="E681" s="13" t="s">
        <v>26</v>
      </c>
      <c r="F681" s="14">
        <v>0.019375</v>
      </c>
      <c r="G681" s="21"/>
    </row>
    <row r="682">
      <c r="A682" s="4" t="s">
        <v>638</v>
      </c>
      <c r="B682" s="10">
        <v>2424406.0</v>
      </c>
      <c r="C682" s="16" t="s">
        <v>79</v>
      </c>
      <c r="D682" s="12" t="s">
        <v>26</v>
      </c>
      <c r="E682" s="13" t="s">
        <v>26</v>
      </c>
      <c r="F682" s="14">
        <v>0.025324074074074075</v>
      </c>
      <c r="G682" s="21"/>
    </row>
    <row r="683">
      <c r="A683" s="4" t="s">
        <v>638</v>
      </c>
      <c r="B683" s="10">
        <v>2428701.0</v>
      </c>
      <c r="C683" s="16" t="s">
        <v>671</v>
      </c>
      <c r="D683" s="12" t="s">
        <v>26</v>
      </c>
      <c r="E683" s="13" t="s">
        <v>26</v>
      </c>
      <c r="F683" s="14">
        <v>0.040150462962962964</v>
      </c>
      <c r="G683" s="21"/>
    </row>
    <row r="684">
      <c r="A684" s="4" t="s">
        <v>638</v>
      </c>
      <c r="B684" s="10">
        <v>753898.0</v>
      </c>
      <c r="C684" s="16" t="s">
        <v>159</v>
      </c>
      <c r="D684" s="12" t="s">
        <v>26</v>
      </c>
      <c r="E684" s="13" t="s">
        <v>15</v>
      </c>
      <c r="F684" s="14">
        <v>0.025277777777777777</v>
      </c>
      <c r="G684" s="21"/>
    </row>
    <row r="685">
      <c r="A685" s="4" t="s">
        <v>638</v>
      </c>
      <c r="B685" s="10">
        <v>2972405.0</v>
      </c>
      <c r="C685" s="16" t="s">
        <v>672</v>
      </c>
      <c r="D685" s="12" t="s">
        <v>26</v>
      </c>
      <c r="E685" s="13" t="s">
        <v>15</v>
      </c>
      <c r="F685" s="14">
        <v>0.02539351851851852</v>
      </c>
      <c r="G685" s="21"/>
    </row>
    <row r="686">
      <c r="A686" s="4" t="s">
        <v>638</v>
      </c>
      <c r="B686" s="10">
        <v>2876175.0</v>
      </c>
      <c r="C686" s="16" t="s">
        <v>673</v>
      </c>
      <c r="D686" s="12" t="s">
        <v>26</v>
      </c>
      <c r="E686" s="13" t="s">
        <v>15</v>
      </c>
      <c r="F686" s="14">
        <v>0.04106481481481482</v>
      </c>
      <c r="G686" s="21"/>
    </row>
    <row r="687">
      <c r="A687" s="4" t="s">
        <v>674</v>
      </c>
      <c r="B687" s="5" t="s">
        <v>8</v>
      </c>
      <c r="C687" s="6" t="s">
        <v>9</v>
      </c>
      <c r="D687" s="7" t="s">
        <v>3</v>
      </c>
      <c r="E687" s="7" t="s">
        <v>10</v>
      </c>
      <c r="F687" s="8" t="s">
        <v>11</v>
      </c>
      <c r="G687" s="9" t="s">
        <v>12</v>
      </c>
    </row>
    <row r="688">
      <c r="A688" s="4" t="s">
        <v>674</v>
      </c>
      <c r="B688" s="10">
        <v>492724.0</v>
      </c>
      <c r="C688" s="16" t="s">
        <v>594</v>
      </c>
      <c r="D688" s="12" t="s">
        <v>18</v>
      </c>
      <c r="E688" s="13" t="s">
        <v>109</v>
      </c>
      <c r="F688" s="14">
        <v>0.04037037037037037</v>
      </c>
      <c r="G688" s="15" t="s">
        <v>675</v>
      </c>
    </row>
    <row r="689">
      <c r="A689" s="4" t="s">
        <v>674</v>
      </c>
      <c r="B689" s="10">
        <v>2894004.0</v>
      </c>
      <c r="C689" s="16" t="s">
        <v>676</v>
      </c>
      <c r="D689" s="12" t="s">
        <v>18</v>
      </c>
      <c r="E689" s="13" t="s">
        <v>109</v>
      </c>
      <c r="F689" s="14">
        <v>0.03351851851851852</v>
      </c>
      <c r="G689" s="15" t="s">
        <v>677</v>
      </c>
    </row>
    <row r="690">
      <c r="A690" s="23" t="s">
        <v>674</v>
      </c>
      <c r="B690" s="24">
        <v>599600.0</v>
      </c>
      <c r="C690" s="25" t="s">
        <v>678</v>
      </c>
      <c r="D690" s="26" t="s">
        <v>18</v>
      </c>
      <c r="E690" s="27" t="s">
        <v>15</v>
      </c>
      <c r="F690" s="28">
        <v>0.03984953703703704</v>
      </c>
      <c r="G690" s="17" t="s">
        <v>679</v>
      </c>
    </row>
    <row r="691">
      <c r="A691" s="4" t="s">
        <v>674</v>
      </c>
      <c r="B691" s="10">
        <v>2825603.0</v>
      </c>
      <c r="C691" s="16" t="s">
        <v>680</v>
      </c>
      <c r="D691" s="12" t="s">
        <v>34</v>
      </c>
      <c r="E691" s="13" t="s">
        <v>38</v>
      </c>
      <c r="F691" s="14">
        <v>0.04846064814814815</v>
      </c>
      <c r="G691" s="15" t="s">
        <v>681</v>
      </c>
    </row>
    <row r="692">
      <c r="A692" s="4" t="s">
        <v>674</v>
      </c>
      <c r="B692" s="10">
        <v>667357.0</v>
      </c>
      <c r="C692" s="16" t="s">
        <v>682</v>
      </c>
      <c r="D692" s="12" t="s">
        <v>34</v>
      </c>
      <c r="E692" s="13" t="s">
        <v>15</v>
      </c>
      <c r="F692" s="14">
        <v>0.02423611111111111</v>
      </c>
      <c r="G692" s="21"/>
    </row>
    <row r="693">
      <c r="A693" s="4" t="s">
        <v>674</v>
      </c>
      <c r="B693" s="10">
        <v>2874285.0</v>
      </c>
      <c r="C693" s="16" t="s">
        <v>683</v>
      </c>
      <c r="D693" s="12" t="s">
        <v>34</v>
      </c>
      <c r="E693" s="13" t="s">
        <v>15</v>
      </c>
      <c r="F693" s="14">
        <v>0.039699074074074074</v>
      </c>
      <c r="G693" s="21"/>
    </row>
    <row r="694">
      <c r="A694" s="4" t="s">
        <v>674</v>
      </c>
      <c r="B694" s="10">
        <v>3007729.0</v>
      </c>
      <c r="C694" s="16" t="s">
        <v>684</v>
      </c>
      <c r="D694" s="12" t="s">
        <v>34</v>
      </c>
      <c r="E694" s="13" t="s">
        <v>15</v>
      </c>
      <c r="F694" s="14">
        <v>0.015092592592592593</v>
      </c>
      <c r="G694" s="21"/>
    </row>
    <row r="695">
      <c r="A695" s="4" t="s">
        <v>674</v>
      </c>
      <c r="B695" s="10">
        <v>2841603.0</v>
      </c>
      <c r="C695" s="16" t="s">
        <v>685</v>
      </c>
      <c r="D695" s="12" t="s">
        <v>31</v>
      </c>
      <c r="E695" s="13" t="s">
        <v>38</v>
      </c>
      <c r="F695" s="14">
        <v>0.025185185185185185</v>
      </c>
      <c r="G695" s="21"/>
    </row>
    <row r="696">
      <c r="A696" s="4" t="s">
        <v>674</v>
      </c>
      <c r="B696" s="10">
        <v>2890000.0</v>
      </c>
      <c r="C696" s="16" t="s">
        <v>686</v>
      </c>
      <c r="D696" s="12" t="s">
        <v>31</v>
      </c>
      <c r="E696" s="13" t="s">
        <v>38</v>
      </c>
      <c r="F696" s="14">
        <v>0.02263888888888889</v>
      </c>
      <c r="G696" s="21"/>
    </row>
    <row r="697">
      <c r="A697" s="4" t="s">
        <v>674</v>
      </c>
      <c r="B697" s="10">
        <v>3004861.0</v>
      </c>
      <c r="C697" s="16" t="s">
        <v>687</v>
      </c>
      <c r="D697" s="12" t="s">
        <v>31</v>
      </c>
      <c r="E697" s="13" t="s">
        <v>15</v>
      </c>
      <c r="F697" s="14">
        <v>0.021041666666666667</v>
      </c>
      <c r="G697" s="21"/>
    </row>
    <row r="698">
      <c r="A698" s="4" t="s">
        <v>674</v>
      </c>
      <c r="B698" s="10">
        <v>2802030.0</v>
      </c>
      <c r="C698" s="16" t="s">
        <v>688</v>
      </c>
      <c r="D698" s="12" t="s">
        <v>26</v>
      </c>
      <c r="E698" s="13" t="s">
        <v>109</v>
      </c>
      <c r="F698" s="14">
        <v>0.050138888888888886</v>
      </c>
      <c r="G698" s="21"/>
    </row>
    <row r="699">
      <c r="A699" s="4" t="s">
        <v>674</v>
      </c>
      <c r="B699" s="10">
        <v>2804059.0</v>
      </c>
      <c r="C699" s="16" t="s">
        <v>689</v>
      </c>
      <c r="D699" s="12" t="s">
        <v>26</v>
      </c>
      <c r="E699" s="13" t="s">
        <v>109</v>
      </c>
      <c r="F699" s="14">
        <v>0.019479166666666665</v>
      </c>
      <c r="G699" s="21"/>
    </row>
    <row r="700">
      <c r="A700" s="4" t="s">
        <v>674</v>
      </c>
      <c r="B700" s="10">
        <v>2819182.0</v>
      </c>
      <c r="C700" s="16" t="s">
        <v>690</v>
      </c>
      <c r="D700" s="12" t="s">
        <v>26</v>
      </c>
      <c r="E700" s="13" t="s">
        <v>109</v>
      </c>
      <c r="F700" s="14">
        <v>0.03276620370370371</v>
      </c>
      <c r="G700" s="21"/>
    </row>
    <row r="701">
      <c r="A701" s="4" t="s">
        <v>674</v>
      </c>
      <c r="B701" s="10">
        <v>2831003.0</v>
      </c>
      <c r="C701" s="16" t="s">
        <v>691</v>
      </c>
      <c r="D701" s="12" t="s">
        <v>26</v>
      </c>
      <c r="E701" s="13" t="s">
        <v>109</v>
      </c>
      <c r="F701" s="14">
        <v>0.022708333333333334</v>
      </c>
      <c r="G701" s="21"/>
    </row>
    <row r="702">
      <c r="A702" s="4" t="s">
        <v>674</v>
      </c>
      <c r="B702" s="10">
        <v>2829005.0</v>
      </c>
      <c r="C702" s="16" t="s">
        <v>692</v>
      </c>
      <c r="D702" s="12" t="s">
        <v>26</v>
      </c>
      <c r="E702" s="13" t="s">
        <v>109</v>
      </c>
      <c r="F702" s="14">
        <v>0.024479166666666666</v>
      </c>
      <c r="G702" s="21"/>
    </row>
    <row r="703">
      <c r="A703" s="4" t="s">
        <v>674</v>
      </c>
      <c r="B703" s="10">
        <v>2832002.0</v>
      </c>
      <c r="C703" s="16" t="s">
        <v>693</v>
      </c>
      <c r="D703" s="12" t="s">
        <v>26</v>
      </c>
      <c r="E703" s="13" t="s">
        <v>38</v>
      </c>
      <c r="F703" s="14">
        <v>0.02277777777777778</v>
      </c>
      <c r="G703" s="21"/>
    </row>
    <row r="704">
      <c r="A704" s="4" t="s">
        <v>674</v>
      </c>
      <c r="B704" s="10">
        <v>693076.0</v>
      </c>
      <c r="C704" s="16" t="s">
        <v>694</v>
      </c>
      <c r="D704" s="12" t="s">
        <v>26</v>
      </c>
      <c r="E704" s="13" t="s">
        <v>38</v>
      </c>
      <c r="F704" s="14">
        <v>0.05734953703703704</v>
      </c>
      <c r="G704" s="21"/>
    </row>
    <row r="705">
      <c r="A705" s="4" t="s">
        <v>674</v>
      </c>
      <c r="B705" s="10">
        <v>604223.0</v>
      </c>
      <c r="C705" s="16" t="s">
        <v>695</v>
      </c>
      <c r="D705" s="12" t="s">
        <v>26</v>
      </c>
      <c r="E705" s="13" t="s">
        <v>38</v>
      </c>
      <c r="F705" s="14">
        <v>0.033171296296296296</v>
      </c>
      <c r="G705" s="21"/>
    </row>
    <row r="706">
      <c r="A706" s="4" t="s">
        <v>674</v>
      </c>
      <c r="B706" s="10">
        <v>2823345.0</v>
      </c>
      <c r="C706" s="16" t="s">
        <v>696</v>
      </c>
      <c r="D706" s="12" t="s">
        <v>26</v>
      </c>
      <c r="E706" s="13" t="s">
        <v>38</v>
      </c>
      <c r="F706" s="14">
        <v>0.057604166666666665</v>
      </c>
      <c r="G706" s="21"/>
    </row>
    <row r="707">
      <c r="A707" s="4" t="s">
        <v>674</v>
      </c>
      <c r="B707" s="10">
        <v>2825032.0</v>
      </c>
      <c r="C707" s="16" t="s">
        <v>697</v>
      </c>
      <c r="D707" s="12" t="s">
        <v>26</v>
      </c>
      <c r="E707" s="13" t="s">
        <v>38</v>
      </c>
      <c r="F707" s="14">
        <v>0.014282407407407407</v>
      </c>
      <c r="G707" s="21"/>
    </row>
    <row r="708">
      <c r="A708" s="4" t="s">
        <v>674</v>
      </c>
      <c r="B708" s="10">
        <v>2824270.0</v>
      </c>
      <c r="C708" s="16" t="s">
        <v>494</v>
      </c>
      <c r="D708" s="12" t="s">
        <v>26</v>
      </c>
      <c r="E708" s="13" t="s">
        <v>38</v>
      </c>
      <c r="F708" s="14">
        <v>0.02912037037037037</v>
      </c>
      <c r="G708" s="21"/>
    </row>
    <row r="709">
      <c r="A709" s="4" t="s">
        <v>674</v>
      </c>
      <c r="B709" s="10">
        <v>2822580.0</v>
      </c>
      <c r="C709" s="16" t="s">
        <v>698</v>
      </c>
      <c r="D709" s="12" t="s">
        <v>26</v>
      </c>
      <c r="E709" s="13" t="s">
        <v>38</v>
      </c>
      <c r="F709" s="14">
        <v>0.04043981481481482</v>
      </c>
      <c r="G709" s="21"/>
    </row>
    <row r="710">
      <c r="A710" s="4" t="s">
        <v>674</v>
      </c>
      <c r="B710" s="10">
        <v>2822581.0</v>
      </c>
      <c r="C710" s="16" t="s">
        <v>699</v>
      </c>
      <c r="D710" s="12" t="s">
        <v>26</v>
      </c>
      <c r="E710" s="13" t="s">
        <v>38</v>
      </c>
      <c r="F710" s="14">
        <v>0.04525462962962963</v>
      </c>
      <c r="G710" s="21"/>
    </row>
    <row r="711">
      <c r="A711" s="4" t="s">
        <v>674</v>
      </c>
      <c r="B711" s="10">
        <v>2822582.0</v>
      </c>
      <c r="C711" s="16" t="s">
        <v>700</v>
      </c>
      <c r="D711" s="12" t="s">
        <v>26</v>
      </c>
      <c r="E711" s="13" t="s">
        <v>38</v>
      </c>
      <c r="F711" s="14">
        <v>0.024722222222222222</v>
      </c>
      <c r="G711" s="21"/>
    </row>
    <row r="712">
      <c r="A712" s="4" t="s">
        <v>674</v>
      </c>
      <c r="B712" s="10">
        <v>2823488.0</v>
      </c>
      <c r="C712" s="16" t="s">
        <v>701</v>
      </c>
      <c r="D712" s="12" t="s">
        <v>26</v>
      </c>
      <c r="E712" s="13" t="s">
        <v>38</v>
      </c>
      <c r="F712" s="14">
        <v>0.05265046296296296</v>
      </c>
      <c r="G712" s="21"/>
    </row>
    <row r="713">
      <c r="A713" s="4" t="s">
        <v>674</v>
      </c>
      <c r="B713" s="10">
        <v>2824356.0</v>
      </c>
      <c r="C713" s="16" t="s">
        <v>702</v>
      </c>
      <c r="D713" s="12" t="s">
        <v>26</v>
      </c>
      <c r="E713" s="13" t="s">
        <v>38</v>
      </c>
      <c r="F713" s="14">
        <v>0.03826388888888889</v>
      </c>
      <c r="G713" s="21"/>
    </row>
    <row r="714">
      <c r="A714" s="4" t="s">
        <v>674</v>
      </c>
      <c r="B714" s="10">
        <v>704121.0</v>
      </c>
      <c r="C714" s="16" t="s">
        <v>703</v>
      </c>
      <c r="D714" s="12" t="s">
        <v>26</v>
      </c>
      <c r="E714" s="13" t="s">
        <v>38</v>
      </c>
      <c r="F714" s="14">
        <v>0.043506944444444445</v>
      </c>
      <c r="G714" s="21"/>
    </row>
    <row r="715">
      <c r="A715" s="4" t="s">
        <v>674</v>
      </c>
      <c r="B715" s="10">
        <v>2822209.0</v>
      </c>
      <c r="C715" s="16" t="s">
        <v>704</v>
      </c>
      <c r="D715" s="12" t="s">
        <v>26</v>
      </c>
      <c r="E715" s="13" t="s">
        <v>38</v>
      </c>
      <c r="F715" s="14">
        <v>0.03302083333333333</v>
      </c>
      <c r="G715" s="21"/>
    </row>
    <row r="716">
      <c r="A716" s="4" t="s">
        <v>674</v>
      </c>
      <c r="B716" s="10">
        <v>3157766.0</v>
      </c>
      <c r="C716" s="16" t="s">
        <v>705</v>
      </c>
      <c r="D716" s="12" t="s">
        <v>26</v>
      </c>
      <c r="E716" s="13" t="s">
        <v>38</v>
      </c>
      <c r="F716" s="14">
        <v>0.025138888888888888</v>
      </c>
      <c r="G716" s="21"/>
    </row>
    <row r="717">
      <c r="A717" s="4" t="s">
        <v>674</v>
      </c>
      <c r="B717" s="10">
        <v>2823199.0</v>
      </c>
      <c r="C717" s="16" t="s">
        <v>706</v>
      </c>
      <c r="D717" s="12" t="s">
        <v>26</v>
      </c>
      <c r="E717" s="13" t="s">
        <v>19</v>
      </c>
      <c r="F717" s="14">
        <v>0.04611111111111111</v>
      </c>
      <c r="G717" s="21"/>
    </row>
    <row r="718">
      <c r="A718" s="4" t="s">
        <v>674</v>
      </c>
      <c r="B718" s="10">
        <v>2823165.0</v>
      </c>
      <c r="C718" s="16" t="s">
        <v>707</v>
      </c>
      <c r="D718" s="12" t="s">
        <v>26</v>
      </c>
      <c r="E718" s="13" t="s">
        <v>19</v>
      </c>
      <c r="F718" s="14">
        <v>0.049212962962962965</v>
      </c>
      <c r="G718" s="21"/>
    </row>
    <row r="719">
      <c r="A719" s="4" t="s">
        <v>674</v>
      </c>
      <c r="B719" s="10">
        <v>661753.0</v>
      </c>
      <c r="C719" s="16" t="s">
        <v>708</v>
      </c>
      <c r="D719" s="12" t="s">
        <v>26</v>
      </c>
      <c r="E719" s="13" t="s">
        <v>19</v>
      </c>
      <c r="F719" s="14">
        <v>0.027662037037037037</v>
      </c>
      <c r="G719" s="21"/>
    </row>
    <row r="720">
      <c r="A720" s="4" t="s">
        <v>674</v>
      </c>
      <c r="B720" s="10">
        <v>704116.0</v>
      </c>
      <c r="C720" s="16" t="s">
        <v>709</v>
      </c>
      <c r="D720" s="12" t="s">
        <v>26</v>
      </c>
      <c r="E720" s="13" t="s">
        <v>19</v>
      </c>
      <c r="F720" s="14">
        <v>0.03753472222222222</v>
      </c>
      <c r="G720" s="21"/>
    </row>
    <row r="721">
      <c r="A721" s="4" t="s">
        <v>674</v>
      </c>
      <c r="B721" s="10">
        <v>616661.0</v>
      </c>
      <c r="C721" s="16" t="s">
        <v>710</v>
      </c>
      <c r="D721" s="12" t="s">
        <v>26</v>
      </c>
      <c r="E721" s="13" t="s">
        <v>19</v>
      </c>
      <c r="F721" s="14">
        <v>0.022511574074074073</v>
      </c>
      <c r="G721" s="21"/>
    </row>
    <row r="722">
      <c r="A722" s="4" t="s">
        <v>674</v>
      </c>
      <c r="B722" s="10">
        <v>645012.0</v>
      </c>
      <c r="C722" s="16" t="s">
        <v>711</v>
      </c>
      <c r="D722" s="12" t="s">
        <v>26</v>
      </c>
      <c r="E722" s="13" t="s">
        <v>19</v>
      </c>
      <c r="F722" s="14">
        <v>0.028564814814814814</v>
      </c>
      <c r="G722" s="21"/>
    </row>
    <row r="723">
      <c r="A723" s="4" t="s">
        <v>674</v>
      </c>
      <c r="B723" s="10">
        <v>746263.0</v>
      </c>
      <c r="C723" s="16" t="s">
        <v>712</v>
      </c>
      <c r="D723" s="12" t="s">
        <v>26</v>
      </c>
      <c r="E723" s="13" t="s">
        <v>26</v>
      </c>
      <c r="F723" s="14">
        <v>0.018796296296296297</v>
      </c>
      <c r="G723" s="21"/>
    </row>
    <row r="724">
      <c r="A724" s="4" t="s">
        <v>674</v>
      </c>
      <c r="B724" s="10">
        <v>456351.0</v>
      </c>
      <c r="C724" s="16" t="s">
        <v>713</v>
      </c>
      <c r="D724" s="12" t="s">
        <v>26</v>
      </c>
      <c r="E724" s="13" t="s">
        <v>26</v>
      </c>
      <c r="F724" s="14">
        <v>0.0146875</v>
      </c>
      <c r="G724" s="21"/>
    </row>
    <row r="725">
      <c r="A725" s="4" t="s">
        <v>674</v>
      </c>
      <c r="B725" s="10">
        <v>2880018.0</v>
      </c>
      <c r="C725" s="16" t="s">
        <v>714</v>
      </c>
      <c r="D725" s="12" t="s">
        <v>26</v>
      </c>
      <c r="E725" s="13" t="s">
        <v>26</v>
      </c>
      <c r="F725" s="14">
        <v>0.05157407407407407</v>
      </c>
      <c r="G725" s="21"/>
    </row>
    <row r="726">
      <c r="A726" s="4" t="s">
        <v>674</v>
      </c>
      <c r="B726" s="10">
        <v>2243042.0</v>
      </c>
      <c r="C726" s="16" t="s">
        <v>715</v>
      </c>
      <c r="D726" s="12" t="s">
        <v>26</v>
      </c>
      <c r="E726" s="13" t="s">
        <v>26</v>
      </c>
      <c r="F726" s="14">
        <v>0.009583333333333333</v>
      </c>
      <c r="G726" s="21"/>
    </row>
    <row r="727">
      <c r="A727" s="4" t="s">
        <v>674</v>
      </c>
      <c r="B727" s="10">
        <v>2822652.0</v>
      </c>
      <c r="C727" s="16" t="s">
        <v>716</v>
      </c>
      <c r="D727" s="12" t="s">
        <v>26</v>
      </c>
      <c r="E727" s="13" t="s">
        <v>26</v>
      </c>
      <c r="F727" s="14">
        <v>0.028148148148148148</v>
      </c>
      <c r="G727" s="21"/>
    </row>
    <row r="728">
      <c r="A728" s="4" t="s">
        <v>674</v>
      </c>
      <c r="B728" s="10">
        <v>2804060.0</v>
      </c>
      <c r="C728" s="16" t="s">
        <v>717</v>
      </c>
      <c r="D728" s="12" t="s">
        <v>26</v>
      </c>
      <c r="E728" s="13" t="s">
        <v>15</v>
      </c>
      <c r="F728" s="14">
        <v>0.019965277777777776</v>
      </c>
      <c r="G728" s="21"/>
    </row>
    <row r="729">
      <c r="A729" s="4" t="s">
        <v>674</v>
      </c>
      <c r="B729" s="10">
        <v>784279.0</v>
      </c>
      <c r="C729" s="16" t="s">
        <v>687</v>
      </c>
      <c r="D729" s="12" t="s">
        <v>26</v>
      </c>
      <c r="E729" s="13" t="s">
        <v>15</v>
      </c>
      <c r="F729" s="14">
        <v>0.023113425925925926</v>
      </c>
      <c r="G729" s="21"/>
    </row>
    <row r="730">
      <c r="A730" s="4" t="s">
        <v>674</v>
      </c>
      <c r="B730" s="10">
        <v>748569.0</v>
      </c>
      <c r="C730" s="16" t="s">
        <v>718</v>
      </c>
      <c r="D730" s="12" t="s">
        <v>26</v>
      </c>
      <c r="E730" s="13" t="s">
        <v>15</v>
      </c>
      <c r="F730" s="14">
        <v>0.0349537037037037</v>
      </c>
      <c r="G730" s="21"/>
    </row>
    <row r="731">
      <c r="A731" s="4" t="s">
        <v>674</v>
      </c>
      <c r="B731" s="10">
        <v>791341.0</v>
      </c>
      <c r="C731" s="16" t="s">
        <v>719</v>
      </c>
      <c r="D731" s="12" t="s">
        <v>26</v>
      </c>
      <c r="E731" s="13" t="s">
        <v>15</v>
      </c>
      <c r="F731" s="14">
        <v>0.02267361111111111</v>
      </c>
      <c r="G731" s="21"/>
    </row>
    <row r="732">
      <c r="A732" s="4" t="s">
        <v>674</v>
      </c>
      <c r="B732" s="10">
        <v>802825.0</v>
      </c>
      <c r="C732" s="16" t="s">
        <v>720</v>
      </c>
      <c r="D732" s="12" t="s">
        <v>26</v>
      </c>
      <c r="E732" s="13" t="s">
        <v>15</v>
      </c>
      <c r="F732" s="14">
        <v>0.037731481481481484</v>
      </c>
      <c r="G732" s="21"/>
    </row>
    <row r="733">
      <c r="A733" s="4" t="s">
        <v>674</v>
      </c>
      <c r="B733" s="10">
        <v>191342.0</v>
      </c>
      <c r="C733" s="16" t="s">
        <v>721</v>
      </c>
      <c r="D733" s="12" t="s">
        <v>26</v>
      </c>
      <c r="E733" s="13" t="s">
        <v>15</v>
      </c>
      <c r="F733" s="14">
        <v>0.030104166666666668</v>
      </c>
      <c r="G733" s="21"/>
    </row>
    <row r="734">
      <c r="A734" s="4" t="s">
        <v>674</v>
      </c>
      <c r="B734" s="10">
        <v>693077.0</v>
      </c>
      <c r="C734" s="16" t="s">
        <v>722</v>
      </c>
      <c r="D734" s="12" t="s">
        <v>26</v>
      </c>
      <c r="E734" s="13" t="s">
        <v>15</v>
      </c>
      <c r="F734" s="14">
        <v>0.02533564814814815</v>
      </c>
      <c r="G734" s="21"/>
    </row>
    <row r="735">
      <c r="A735" s="4" t="s">
        <v>674</v>
      </c>
      <c r="B735" s="10">
        <v>167069.0</v>
      </c>
      <c r="C735" s="16" t="s">
        <v>723</v>
      </c>
      <c r="D735" s="12" t="s">
        <v>26</v>
      </c>
      <c r="E735" s="13" t="s">
        <v>15</v>
      </c>
      <c r="F735" s="14">
        <v>0.04207175925925926</v>
      </c>
      <c r="G735" s="21"/>
    </row>
    <row r="736">
      <c r="A736" s="4" t="s">
        <v>674</v>
      </c>
      <c r="B736" s="10">
        <v>191340.0</v>
      </c>
      <c r="C736" s="16" t="s">
        <v>724</v>
      </c>
      <c r="D736" s="12" t="s">
        <v>26</v>
      </c>
      <c r="E736" s="13" t="s">
        <v>15</v>
      </c>
      <c r="F736" s="14">
        <v>0.03818287037037037</v>
      </c>
      <c r="G736" s="21"/>
    </row>
    <row r="737">
      <c r="A737" s="4" t="s">
        <v>674</v>
      </c>
      <c r="B737" s="10">
        <v>2815148.0</v>
      </c>
      <c r="C737" s="11" t="s">
        <v>725</v>
      </c>
      <c r="D737" s="12" t="s">
        <v>26</v>
      </c>
      <c r="E737" s="13" t="s">
        <v>15</v>
      </c>
      <c r="F737" s="14">
        <v>0.027256944444444445</v>
      </c>
      <c r="G737" s="21"/>
    </row>
    <row r="738">
      <c r="A738" s="4" t="s">
        <v>674</v>
      </c>
      <c r="B738" s="10">
        <v>2254038.0</v>
      </c>
      <c r="C738" s="16" t="s">
        <v>726</v>
      </c>
      <c r="D738" s="12" t="s">
        <v>26</v>
      </c>
      <c r="E738" s="13" t="s">
        <v>15</v>
      </c>
      <c r="F738" s="14">
        <v>0.04465277777777778</v>
      </c>
      <c r="G738" s="21"/>
    </row>
    <row r="739">
      <c r="A739" s="4" t="s">
        <v>674</v>
      </c>
      <c r="B739" s="10">
        <v>2813275.0</v>
      </c>
      <c r="C739" s="16" t="s">
        <v>727</v>
      </c>
      <c r="D739" s="12" t="s">
        <v>26</v>
      </c>
      <c r="E739" s="13" t="s">
        <v>15</v>
      </c>
      <c r="F739" s="14">
        <v>0.02673611111111111</v>
      </c>
      <c r="G739" s="21"/>
    </row>
    <row r="740">
      <c r="A740" s="4" t="s">
        <v>674</v>
      </c>
      <c r="B740" s="10">
        <v>2815115.0</v>
      </c>
      <c r="C740" s="16" t="s">
        <v>728</v>
      </c>
      <c r="D740" s="12" t="s">
        <v>26</v>
      </c>
      <c r="E740" s="13" t="s">
        <v>15</v>
      </c>
      <c r="F740" s="14">
        <v>0.037974537037037036</v>
      </c>
      <c r="G740" s="21"/>
    </row>
    <row r="741">
      <c r="A741" s="4" t="s">
        <v>674</v>
      </c>
      <c r="B741" s="10">
        <v>2975167.0</v>
      </c>
      <c r="C741" s="16" t="s">
        <v>729</v>
      </c>
      <c r="D741" s="12" t="s">
        <v>26</v>
      </c>
      <c r="E741" s="13" t="s">
        <v>15</v>
      </c>
      <c r="F741" s="14">
        <v>0.03025462962962963</v>
      </c>
      <c r="G741" s="21"/>
    </row>
    <row r="742">
      <c r="A742" s="4" t="s">
        <v>674</v>
      </c>
      <c r="B742" s="10">
        <v>2802470.0</v>
      </c>
      <c r="C742" s="16" t="s">
        <v>730</v>
      </c>
      <c r="D742" s="12" t="s">
        <v>26</v>
      </c>
      <c r="E742" s="13" t="s">
        <v>15</v>
      </c>
      <c r="F742" s="14">
        <v>0.01884259259259259</v>
      </c>
      <c r="G742" s="21"/>
    </row>
    <row r="743">
      <c r="A743" s="4" t="s">
        <v>674</v>
      </c>
      <c r="B743" s="10">
        <v>697710.0</v>
      </c>
      <c r="C743" s="16" t="s">
        <v>731</v>
      </c>
      <c r="D743" s="12" t="s">
        <v>26</v>
      </c>
      <c r="E743" s="13" t="s">
        <v>15</v>
      </c>
      <c r="F743" s="14">
        <v>0.0428125</v>
      </c>
      <c r="G743" s="21"/>
    </row>
    <row r="744">
      <c r="A744" s="4" t="s">
        <v>674</v>
      </c>
      <c r="B744" s="10">
        <v>2832061.0</v>
      </c>
      <c r="C744" s="16" t="s">
        <v>732</v>
      </c>
      <c r="D744" s="12" t="s">
        <v>26</v>
      </c>
      <c r="E744" s="13" t="s">
        <v>15</v>
      </c>
      <c r="F744" s="14">
        <v>0.03791666666666667</v>
      </c>
      <c r="G744" s="21"/>
    </row>
    <row r="745">
      <c r="A745" s="4" t="s">
        <v>733</v>
      </c>
      <c r="B745" s="5" t="s">
        <v>8</v>
      </c>
      <c r="C745" s="6" t="s">
        <v>9</v>
      </c>
      <c r="D745" s="7" t="s">
        <v>3</v>
      </c>
      <c r="E745" s="7" t="s">
        <v>10</v>
      </c>
      <c r="F745" s="8" t="s">
        <v>11</v>
      </c>
      <c r="G745" s="9" t="s">
        <v>12</v>
      </c>
    </row>
    <row r="746">
      <c r="A746" s="4" t="s">
        <v>733</v>
      </c>
      <c r="B746" s="10">
        <v>2895588.0</v>
      </c>
      <c r="C746" s="16" t="s">
        <v>734</v>
      </c>
      <c r="D746" s="12" t="s">
        <v>14</v>
      </c>
      <c r="E746" s="13" t="s">
        <v>109</v>
      </c>
      <c r="F746" s="14">
        <v>0.03152777777777778</v>
      </c>
      <c r="G746" s="18" t="s">
        <v>735</v>
      </c>
    </row>
    <row r="747">
      <c r="A747" s="4" t="s">
        <v>733</v>
      </c>
      <c r="B747" s="10">
        <v>740417.0</v>
      </c>
      <c r="C747" s="16" t="s">
        <v>430</v>
      </c>
      <c r="D747" s="12" t="s">
        <v>14</v>
      </c>
      <c r="E747" s="13" t="s">
        <v>38</v>
      </c>
      <c r="F747" s="14">
        <v>0.030462962962962963</v>
      </c>
      <c r="G747" s="15" t="s">
        <v>736</v>
      </c>
    </row>
    <row r="748">
      <c r="A748" s="4" t="s">
        <v>733</v>
      </c>
      <c r="B748" s="10">
        <v>2876323.0</v>
      </c>
      <c r="C748" s="16" t="s">
        <v>737</v>
      </c>
      <c r="D748" s="12" t="s">
        <v>34</v>
      </c>
      <c r="E748" s="13" t="s">
        <v>26</v>
      </c>
      <c r="F748" s="14">
        <v>0.023449074074074074</v>
      </c>
      <c r="G748" s="15" t="s">
        <v>738</v>
      </c>
    </row>
    <row r="749">
      <c r="A749" s="4" t="s">
        <v>733</v>
      </c>
      <c r="B749" s="10">
        <v>3129466.0</v>
      </c>
      <c r="C749" s="16" t="s">
        <v>739</v>
      </c>
      <c r="D749" s="12" t="s">
        <v>34</v>
      </c>
      <c r="E749" s="13" t="s">
        <v>15</v>
      </c>
      <c r="F749" s="14">
        <v>0.025694444444444443</v>
      </c>
      <c r="G749" s="15" t="s">
        <v>740</v>
      </c>
    </row>
    <row r="750">
      <c r="A750" s="4" t="s">
        <v>733</v>
      </c>
      <c r="B750" s="10">
        <v>2881215.0</v>
      </c>
      <c r="C750" s="16" t="s">
        <v>741</v>
      </c>
      <c r="D750" s="12" t="s">
        <v>34</v>
      </c>
      <c r="E750" s="13" t="s">
        <v>15</v>
      </c>
      <c r="F750" s="14">
        <v>0.05846064814814815</v>
      </c>
      <c r="G750" s="15" t="s">
        <v>742</v>
      </c>
    </row>
    <row r="751">
      <c r="A751" s="4" t="s">
        <v>733</v>
      </c>
      <c r="B751" s="10">
        <v>2892049.0</v>
      </c>
      <c r="C751" s="16" t="s">
        <v>743</v>
      </c>
      <c r="D751" s="12" t="s">
        <v>31</v>
      </c>
      <c r="E751" s="13" t="s">
        <v>38</v>
      </c>
      <c r="F751" s="14">
        <v>0.0682175925925926</v>
      </c>
      <c r="G751" s="15" t="s">
        <v>744</v>
      </c>
    </row>
    <row r="752">
      <c r="A752" s="4" t="s">
        <v>733</v>
      </c>
      <c r="B752" s="10">
        <v>2861045.0</v>
      </c>
      <c r="C752" s="16" t="s">
        <v>745</v>
      </c>
      <c r="D752" s="12" t="s">
        <v>31</v>
      </c>
      <c r="E752" s="13" t="s">
        <v>15</v>
      </c>
      <c r="F752" s="14">
        <v>0.01326388888888889</v>
      </c>
      <c r="G752" s="15" t="s">
        <v>746</v>
      </c>
    </row>
    <row r="753">
      <c r="A753" s="4" t="s">
        <v>733</v>
      </c>
      <c r="B753" s="10">
        <v>2860040.0</v>
      </c>
      <c r="C753" s="16" t="s">
        <v>747</v>
      </c>
      <c r="D753" s="12" t="s">
        <v>31</v>
      </c>
      <c r="E753" s="13" t="s">
        <v>15</v>
      </c>
      <c r="F753" s="14">
        <v>0.034895833333333334</v>
      </c>
      <c r="G753" s="15" t="s">
        <v>748</v>
      </c>
    </row>
    <row r="754">
      <c r="A754" s="4" t="s">
        <v>733</v>
      </c>
      <c r="B754" s="10">
        <v>2841395.0</v>
      </c>
      <c r="C754" s="16" t="s">
        <v>749</v>
      </c>
      <c r="D754" s="12" t="s">
        <v>31</v>
      </c>
      <c r="E754" s="13" t="s">
        <v>109</v>
      </c>
      <c r="F754" s="14">
        <v>0.1573263888888889</v>
      </c>
      <c r="G754" s="15" t="s">
        <v>750</v>
      </c>
    </row>
    <row r="755">
      <c r="A755" s="4" t="s">
        <v>733</v>
      </c>
      <c r="B755" s="10">
        <v>664827.0</v>
      </c>
      <c r="C755" s="16" t="s">
        <v>751</v>
      </c>
      <c r="D755" s="12" t="s">
        <v>26</v>
      </c>
      <c r="E755" s="13" t="s">
        <v>109</v>
      </c>
      <c r="F755" s="14">
        <v>0.04528935185185185</v>
      </c>
      <c r="G755" s="18" t="s">
        <v>752</v>
      </c>
    </row>
    <row r="756">
      <c r="A756" s="4" t="s">
        <v>733</v>
      </c>
      <c r="B756" s="10">
        <v>2806960.0</v>
      </c>
      <c r="C756" s="16" t="s">
        <v>753</v>
      </c>
      <c r="D756" s="12" t="s">
        <v>26</v>
      </c>
      <c r="E756" s="13" t="s">
        <v>109</v>
      </c>
      <c r="F756" s="14">
        <v>0.19672453703703704</v>
      </c>
      <c r="G756" s="18" t="s">
        <v>754</v>
      </c>
    </row>
    <row r="757">
      <c r="A757" s="4" t="s">
        <v>733</v>
      </c>
      <c r="B757" s="10">
        <v>5022330.0</v>
      </c>
      <c r="C757" s="16" t="s">
        <v>755</v>
      </c>
      <c r="D757" s="12" t="s">
        <v>26</v>
      </c>
      <c r="E757" s="13" t="s">
        <v>109</v>
      </c>
      <c r="F757" s="14">
        <v>0.024780092592592593</v>
      </c>
      <c r="G757" s="17" t="s">
        <v>756</v>
      </c>
    </row>
    <row r="758">
      <c r="A758" s="4" t="s">
        <v>733</v>
      </c>
      <c r="B758" s="10">
        <v>2819145.0</v>
      </c>
      <c r="C758" s="16" t="s">
        <v>757</v>
      </c>
      <c r="D758" s="12" t="s">
        <v>26</v>
      </c>
      <c r="E758" s="13" t="s">
        <v>109</v>
      </c>
      <c r="F758" s="14">
        <v>0.04694444444444444</v>
      </c>
      <c r="G758" s="18" t="s">
        <v>758</v>
      </c>
    </row>
    <row r="759">
      <c r="A759" s="4" t="s">
        <v>733</v>
      </c>
      <c r="B759" s="10">
        <v>2825682.0</v>
      </c>
      <c r="C759" s="16" t="s">
        <v>759</v>
      </c>
      <c r="D759" s="12" t="s">
        <v>26</v>
      </c>
      <c r="E759" s="13" t="s">
        <v>109</v>
      </c>
      <c r="F759" s="14">
        <v>0.018252314814814815</v>
      </c>
      <c r="G759" s="15" t="s">
        <v>760</v>
      </c>
    </row>
    <row r="760">
      <c r="A760" s="4" t="s">
        <v>733</v>
      </c>
      <c r="B760" s="10">
        <v>490754.0</v>
      </c>
      <c r="C760" s="16" t="s">
        <v>761</v>
      </c>
      <c r="D760" s="12" t="s">
        <v>26</v>
      </c>
      <c r="E760" s="13" t="s">
        <v>38</v>
      </c>
      <c r="F760" s="14">
        <v>0.054675925925925926</v>
      </c>
      <c r="G760" s="15" t="s">
        <v>762</v>
      </c>
    </row>
    <row r="761">
      <c r="A761" s="4" t="s">
        <v>733</v>
      </c>
      <c r="B761" s="10">
        <v>601768.0</v>
      </c>
      <c r="C761" s="16" t="s">
        <v>763</v>
      </c>
      <c r="D761" s="12" t="s">
        <v>26</v>
      </c>
      <c r="E761" s="13" t="s">
        <v>38</v>
      </c>
      <c r="F761" s="14">
        <v>0.060127314814814814</v>
      </c>
      <c r="G761" s="17" t="s">
        <v>764</v>
      </c>
    </row>
    <row r="762">
      <c r="A762" s="4" t="s">
        <v>733</v>
      </c>
      <c r="B762" s="10">
        <v>765327.0</v>
      </c>
      <c r="C762" s="16" t="s">
        <v>765</v>
      </c>
      <c r="D762" s="12" t="s">
        <v>26</v>
      </c>
      <c r="E762" s="13" t="s">
        <v>38</v>
      </c>
      <c r="F762" s="14">
        <v>0.17996527777777777</v>
      </c>
      <c r="G762" s="17"/>
    </row>
    <row r="763">
      <c r="A763" s="4" t="s">
        <v>733</v>
      </c>
      <c r="B763" s="10">
        <v>664826.0</v>
      </c>
      <c r="C763" s="16" t="s">
        <v>766</v>
      </c>
      <c r="D763" s="12" t="s">
        <v>26</v>
      </c>
      <c r="E763" s="13" t="s">
        <v>38</v>
      </c>
      <c r="F763" s="14">
        <v>0.09956018518518518</v>
      </c>
      <c r="G763" s="30"/>
    </row>
    <row r="764">
      <c r="A764" s="4" t="s">
        <v>733</v>
      </c>
      <c r="B764" s="10">
        <v>806168.0</v>
      </c>
      <c r="C764" s="16" t="s">
        <v>767</v>
      </c>
      <c r="D764" s="12" t="s">
        <v>26</v>
      </c>
      <c r="E764" s="13" t="s">
        <v>38</v>
      </c>
      <c r="F764" s="14">
        <v>0.09005787037037037</v>
      </c>
      <c r="G764" s="21"/>
    </row>
    <row r="765">
      <c r="A765" s="4" t="s">
        <v>733</v>
      </c>
      <c r="B765" s="10">
        <v>672259.0</v>
      </c>
      <c r="C765" s="16" t="s">
        <v>768</v>
      </c>
      <c r="D765" s="12" t="s">
        <v>26</v>
      </c>
      <c r="E765" s="13" t="s">
        <v>38</v>
      </c>
      <c r="F765" s="14">
        <v>0.030636574074074073</v>
      </c>
      <c r="G765" s="22"/>
    </row>
    <row r="766">
      <c r="A766" s="4" t="s">
        <v>733</v>
      </c>
      <c r="B766" s="10">
        <v>2811017.0</v>
      </c>
      <c r="C766" s="11" t="s">
        <v>769</v>
      </c>
      <c r="D766" s="12" t="s">
        <v>26</v>
      </c>
      <c r="E766" s="13" t="s">
        <v>38</v>
      </c>
      <c r="F766" s="14">
        <v>0.043287037037037034</v>
      </c>
      <c r="G766" s="22"/>
    </row>
    <row r="767">
      <c r="A767" s="4" t="s">
        <v>733</v>
      </c>
      <c r="B767" s="10">
        <v>2804664.0</v>
      </c>
      <c r="C767" s="16" t="s">
        <v>770</v>
      </c>
      <c r="D767" s="12" t="s">
        <v>26</v>
      </c>
      <c r="E767" s="13" t="s">
        <v>38</v>
      </c>
      <c r="F767" s="14">
        <v>0.03709490740740741</v>
      </c>
      <c r="G767" s="21"/>
    </row>
    <row r="768">
      <c r="A768" s="4" t="s">
        <v>733</v>
      </c>
      <c r="B768" s="10">
        <v>2823034.0</v>
      </c>
      <c r="C768" s="16" t="s">
        <v>771</v>
      </c>
      <c r="D768" s="12" t="s">
        <v>26</v>
      </c>
      <c r="E768" s="13" t="s">
        <v>38</v>
      </c>
      <c r="F768" s="14">
        <v>0.01761574074074074</v>
      </c>
      <c r="G768" s="21"/>
    </row>
    <row r="769">
      <c r="A769" s="4" t="s">
        <v>733</v>
      </c>
      <c r="B769" s="10">
        <v>2822592.0</v>
      </c>
      <c r="C769" s="16" t="s">
        <v>772</v>
      </c>
      <c r="D769" s="12" t="s">
        <v>26</v>
      </c>
      <c r="E769" s="13" t="s">
        <v>38</v>
      </c>
      <c r="F769" s="14">
        <v>0.05717592592592593</v>
      </c>
      <c r="G769" s="21"/>
    </row>
    <row r="770">
      <c r="A770" s="4" t="s">
        <v>733</v>
      </c>
      <c r="B770" s="10">
        <v>2825620.0</v>
      </c>
      <c r="C770" s="16" t="s">
        <v>495</v>
      </c>
      <c r="D770" s="12" t="s">
        <v>26</v>
      </c>
      <c r="E770" s="13" t="s">
        <v>38</v>
      </c>
      <c r="F770" s="14">
        <v>0.0240625</v>
      </c>
      <c r="G770" s="21"/>
    </row>
    <row r="771">
      <c r="A771" s="4" t="s">
        <v>733</v>
      </c>
      <c r="B771" s="10">
        <v>2823513.0</v>
      </c>
      <c r="C771" s="16" t="s">
        <v>773</v>
      </c>
      <c r="D771" s="12" t="s">
        <v>26</v>
      </c>
      <c r="E771" s="13" t="s">
        <v>38</v>
      </c>
      <c r="F771" s="14">
        <v>0.03740740740740741</v>
      </c>
      <c r="G771" s="21"/>
    </row>
    <row r="772">
      <c r="A772" s="4" t="s">
        <v>733</v>
      </c>
      <c r="B772" s="10">
        <v>5035820.0</v>
      </c>
      <c r="C772" s="16" t="s">
        <v>774</v>
      </c>
      <c r="D772" s="12" t="s">
        <v>26</v>
      </c>
      <c r="E772" s="13" t="s">
        <v>38</v>
      </c>
      <c r="F772" s="14">
        <v>0.16091435185185185</v>
      </c>
      <c r="G772" s="21"/>
    </row>
    <row r="773">
      <c r="A773" s="4" t="s">
        <v>733</v>
      </c>
      <c r="B773" s="10">
        <v>2841519.0</v>
      </c>
      <c r="C773" s="16" t="s">
        <v>775</v>
      </c>
      <c r="D773" s="12" t="s">
        <v>26</v>
      </c>
      <c r="E773" s="13" t="s">
        <v>38</v>
      </c>
      <c r="F773" s="14">
        <v>0.020497685185185185</v>
      </c>
      <c r="G773" s="21"/>
    </row>
    <row r="774">
      <c r="A774" s="4" t="s">
        <v>733</v>
      </c>
      <c r="B774" s="10">
        <v>2857067.0</v>
      </c>
      <c r="C774" s="16" t="s">
        <v>776</v>
      </c>
      <c r="D774" s="12" t="s">
        <v>26</v>
      </c>
      <c r="E774" s="13" t="s">
        <v>38</v>
      </c>
      <c r="F774" s="14">
        <v>0.02309027777777778</v>
      </c>
      <c r="G774" s="21"/>
    </row>
    <row r="775">
      <c r="A775" s="4" t="s">
        <v>733</v>
      </c>
      <c r="B775" s="10">
        <v>2881017.0</v>
      </c>
      <c r="C775" s="16" t="s">
        <v>656</v>
      </c>
      <c r="D775" s="12" t="s">
        <v>26</v>
      </c>
      <c r="E775" s="13" t="s">
        <v>38</v>
      </c>
      <c r="F775" s="14">
        <v>0.03546296296296296</v>
      </c>
      <c r="G775" s="21"/>
    </row>
    <row r="776">
      <c r="A776" s="4" t="s">
        <v>733</v>
      </c>
      <c r="B776" s="10">
        <v>2894125.0</v>
      </c>
      <c r="C776" s="16" t="s">
        <v>777</v>
      </c>
      <c r="D776" s="12" t="s">
        <v>26</v>
      </c>
      <c r="E776" s="13" t="s">
        <v>38</v>
      </c>
      <c r="F776" s="14">
        <v>0.040625</v>
      </c>
      <c r="G776" s="21"/>
    </row>
    <row r="777">
      <c r="A777" s="4" t="s">
        <v>733</v>
      </c>
      <c r="B777" s="10">
        <v>2890129.0</v>
      </c>
      <c r="C777" s="16" t="s">
        <v>778</v>
      </c>
      <c r="D777" s="12" t="s">
        <v>26</v>
      </c>
      <c r="E777" s="13" t="s">
        <v>38</v>
      </c>
      <c r="F777" s="14">
        <v>0.06755787037037037</v>
      </c>
      <c r="G777" s="21"/>
    </row>
    <row r="778">
      <c r="A778" s="4" t="s">
        <v>733</v>
      </c>
      <c r="B778" s="10">
        <v>2424659.0</v>
      </c>
      <c r="C778" s="16" t="s">
        <v>779</v>
      </c>
      <c r="D778" s="12" t="s">
        <v>26</v>
      </c>
      <c r="E778" s="13" t="s">
        <v>38</v>
      </c>
      <c r="F778" s="14">
        <v>0.046377314814814816</v>
      </c>
      <c r="G778" s="21"/>
    </row>
    <row r="779">
      <c r="A779" s="4" t="s">
        <v>733</v>
      </c>
      <c r="B779" s="10">
        <v>2460001.0</v>
      </c>
      <c r="C779" s="16" t="s">
        <v>780</v>
      </c>
      <c r="D779" s="12" t="s">
        <v>26</v>
      </c>
      <c r="E779" s="13" t="s">
        <v>38</v>
      </c>
      <c r="F779" s="14">
        <v>0.045578703703703705</v>
      </c>
      <c r="G779" s="21"/>
    </row>
    <row r="780">
      <c r="A780" s="4" t="s">
        <v>733</v>
      </c>
      <c r="B780" s="10">
        <v>2805908.0</v>
      </c>
      <c r="C780" s="16" t="s">
        <v>781</v>
      </c>
      <c r="D780" s="12" t="s">
        <v>26</v>
      </c>
      <c r="E780" s="13" t="s">
        <v>19</v>
      </c>
      <c r="F780" s="14">
        <v>0.15413194444444445</v>
      </c>
      <c r="G780" s="21"/>
    </row>
    <row r="781">
      <c r="A781" s="4" t="s">
        <v>733</v>
      </c>
      <c r="B781" s="10">
        <v>5026557.0</v>
      </c>
      <c r="C781" s="16" t="s">
        <v>782</v>
      </c>
      <c r="D781" s="12" t="s">
        <v>26</v>
      </c>
      <c r="E781" s="13" t="s">
        <v>19</v>
      </c>
      <c r="F781" s="14">
        <v>0.15090277777777777</v>
      </c>
      <c r="G781" s="21"/>
    </row>
    <row r="782">
      <c r="A782" s="4" t="s">
        <v>733</v>
      </c>
      <c r="B782" s="10">
        <v>5005071.0</v>
      </c>
      <c r="C782" s="16" t="s">
        <v>783</v>
      </c>
      <c r="D782" s="12" t="s">
        <v>26</v>
      </c>
      <c r="E782" s="13" t="s">
        <v>19</v>
      </c>
      <c r="F782" s="14">
        <v>0.15940972222222222</v>
      </c>
      <c r="G782" s="21"/>
    </row>
    <row r="783">
      <c r="A783" s="4" t="s">
        <v>733</v>
      </c>
      <c r="B783" s="10">
        <v>2810169.0</v>
      </c>
      <c r="C783" s="16" t="s">
        <v>784</v>
      </c>
      <c r="D783" s="12" t="s">
        <v>26</v>
      </c>
      <c r="E783" s="13" t="s">
        <v>19</v>
      </c>
      <c r="F783" s="14">
        <v>0.05694444444444444</v>
      </c>
      <c r="G783" s="21"/>
    </row>
    <row r="784">
      <c r="A784" s="4" t="s">
        <v>733</v>
      </c>
      <c r="B784" s="10">
        <v>5034173.0</v>
      </c>
      <c r="C784" s="16" t="s">
        <v>785</v>
      </c>
      <c r="D784" s="12" t="s">
        <v>26</v>
      </c>
      <c r="E784" s="13" t="s">
        <v>19</v>
      </c>
      <c r="F784" s="14">
        <v>0.08423611111111111</v>
      </c>
      <c r="G784" s="21"/>
    </row>
    <row r="785">
      <c r="A785" s="4" t="s">
        <v>733</v>
      </c>
      <c r="B785" s="10">
        <v>2822057.0</v>
      </c>
      <c r="C785" s="16" t="s">
        <v>786</v>
      </c>
      <c r="D785" s="12" t="s">
        <v>26</v>
      </c>
      <c r="E785" s="13" t="s">
        <v>19</v>
      </c>
      <c r="F785" s="14">
        <v>0.2429398148148148</v>
      </c>
      <c r="G785" s="21"/>
    </row>
    <row r="786">
      <c r="A786" s="4" t="s">
        <v>733</v>
      </c>
      <c r="B786" s="10">
        <v>2825498.0</v>
      </c>
      <c r="C786" s="16" t="s">
        <v>787</v>
      </c>
      <c r="D786" s="12" t="s">
        <v>26</v>
      </c>
      <c r="E786" s="13" t="s">
        <v>19</v>
      </c>
      <c r="F786" s="14">
        <v>0.17958333333333334</v>
      </c>
      <c r="G786" s="21"/>
    </row>
    <row r="787">
      <c r="A787" s="4" t="s">
        <v>733</v>
      </c>
      <c r="B787" s="10">
        <v>2817066.0</v>
      </c>
      <c r="C787" s="16" t="s">
        <v>788</v>
      </c>
      <c r="D787" s="12" t="s">
        <v>26</v>
      </c>
      <c r="E787" s="13" t="s">
        <v>19</v>
      </c>
      <c r="F787" s="14">
        <v>0.1343287037037037</v>
      </c>
      <c r="G787" s="21"/>
    </row>
    <row r="788">
      <c r="A788" s="4" t="s">
        <v>733</v>
      </c>
      <c r="B788" s="10">
        <v>2822406.0</v>
      </c>
      <c r="C788" s="16" t="s">
        <v>789</v>
      </c>
      <c r="D788" s="12" t="s">
        <v>26</v>
      </c>
      <c r="E788" s="13" t="s">
        <v>19</v>
      </c>
      <c r="F788" s="14">
        <v>0.030729166666666665</v>
      </c>
      <c r="G788" s="21"/>
    </row>
    <row r="789">
      <c r="A789" s="4" t="s">
        <v>733</v>
      </c>
      <c r="B789" s="10">
        <v>2824299.0</v>
      </c>
      <c r="C789" s="16" t="s">
        <v>790</v>
      </c>
      <c r="D789" s="12" t="s">
        <v>26</v>
      </c>
      <c r="E789" s="13" t="s">
        <v>19</v>
      </c>
      <c r="F789" s="14">
        <v>0.16636574074074073</v>
      </c>
      <c r="G789" s="21"/>
    </row>
    <row r="790">
      <c r="A790" s="4" t="s">
        <v>733</v>
      </c>
      <c r="B790" s="10">
        <v>2822641.0</v>
      </c>
      <c r="C790" s="16" t="s">
        <v>791</v>
      </c>
      <c r="D790" s="12" t="s">
        <v>26</v>
      </c>
      <c r="E790" s="13" t="s">
        <v>19</v>
      </c>
      <c r="F790" s="14">
        <v>0.0627199074074074</v>
      </c>
      <c r="G790" s="21"/>
    </row>
    <row r="791">
      <c r="A791" s="4" t="s">
        <v>733</v>
      </c>
      <c r="B791" s="10">
        <v>2938118.0</v>
      </c>
      <c r="C791" s="16" t="s">
        <v>792</v>
      </c>
      <c r="D791" s="12" t="s">
        <v>26</v>
      </c>
      <c r="E791" s="13" t="s">
        <v>26</v>
      </c>
      <c r="F791" s="14">
        <v>0.029409722222222223</v>
      </c>
      <c r="G791" s="21"/>
    </row>
    <row r="792">
      <c r="A792" s="4" t="s">
        <v>733</v>
      </c>
      <c r="B792" s="10">
        <v>2823140.0</v>
      </c>
      <c r="C792" s="16" t="s">
        <v>793</v>
      </c>
      <c r="D792" s="12" t="s">
        <v>26</v>
      </c>
      <c r="E792" s="13" t="s">
        <v>26</v>
      </c>
      <c r="F792" s="14">
        <v>0.032060185185185185</v>
      </c>
      <c r="G792" s="21"/>
    </row>
    <row r="793">
      <c r="A793" s="4" t="s">
        <v>733</v>
      </c>
      <c r="B793" s="10">
        <v>630612.0</v>
      </c>
      <c r="C793" s="16" t="s">
        <v>794</v>
      </c>
      <c r="D793" s="12" t="s">
        <v>26</v>
      </c>
      <c r="E793" s="13" t="s">
        <v>26</v>
      </c>
      <c r="F793" s="14">
        <v>0.043229166666666666</v>
      </c>
      <c r="G793" s="21"/>
    </row>
    <row r="794">
      <c r="A794" s="4" t="s">
        <v>733</v>
      </c>
      <c r="B794" s="10">
        <v>3009707.0</v>
      </c>
      <c r="C794" s="16" t="s">
        <v>795</v>
      </c>
      <c r="D794" s="12" t="s">
        <v>26</v>
      </c>
      <c r="E794" s="13" t="s">
        <v>26</v>
      </c>
      <c r="F794" s="14">
        <v>0.03644675925925926</v>
      </c>
      <c r="G794" s="21"/>
    </row>
    <row r="795">
      <c r="A795" s="4" t="s">
        <v>733</v>
      </c>
      <c r="B795" s="10">
        <v>3010693.0</v>
      </c>
      <c r="C795" s="16" t="s">
        <v>796</v>
      </c>
      <c r="D795" s="12" t="s">
        <v>26</v>
      </c>
      <c r="E795" s="13" t="s">
        <v>26</v>
      </c>
      <c r="F795" s="14">
        <v>0.048553240740740744</v>
      </c>
      <c r="G795" s="21"/>
    </row>
    <row r="796">
      <c r="A796" s="4" t="s">
        <v>733</v>
      </c>
      <c r="B796" s="10">
        <v>3013245.0</v>
      </c>
      <c r="C796" s="16" t="s">
        <v>797</v>
      </c>
      <c r="D796" s="12" t="s">
        <v>26</v>
      </c>
      <c r="E796" s="13" t="s">
        <v>26</v>
      </c>
      <c r="F796" s="14">
        <v>0.03556712962962963</v>
      </c>
      <c r="G796" s="21"/>
    </row>
    <row r="797">
      <c r="A797" s="4" t="s">
        <v>733</v>
      </c>
      <c r="B797" s="10">
        <v>3008694.0</v>
      </c>
      <c r="C797" s="16" t="s">
        <v>798</v>
      </c>
      <c r="D797" s="12" t="s">
        <v>26</v>
      </c>
      <c r="E797" s="13" t="s">
        <v>26</v>
      </c>
      <c r="F797" s="14">
        <v>0.06495370370370371</v>
      </c>
      <c r="G797" s="21"/>
    </row>
    <row r="798">
      <c r="A798" s="4" t="s">
        <v>733</v>
      </c>
      <c r="B798" s="10">
        <v>5028661.0</v>
      </c>
      <c r="C798" s="16" t="s">
        <v>799</v>
      </c>
      <c r="D798" s="12" t="s">
        <v>26</v>
      </c>
      <c r="E798" s="13" t="s">
        <v>15</v>
      </c>
      <c r="F798" s="14">
        <v>0.09054398148148148</v>
      </c>
      <c r="G798" s="21"/>
    </row>
    <row r="799">
      <c r="A799" s="4" t="s">
        <v>733</v>
      </c>
      <c r="B799" s="10">
        <v>647676.0</v>
      </c>
      <c r="C799" s="16" t="s">
        <v>800</v>
      </c>
      <c r="D799" s="12" t="s">
        <v>26</v>
      </c>
      <c r="E799" s="13" t="s">
        <v>15</v>
      </c>
      <c r="F799" s="14">
        <v>0.028796296296296296</v>
      </c>
      <c r="G799" s="21"/>
    </row>
    <row r="800">
      <c r="A800" s="4" t="s">
        <v>733</v>
      </c>
      <c r="B800" s="10">
        <v>647677.0</v>
      </c>
      <c r="C800" s="16" t="s">
        <v>801</v>
      </c>
      <c r="D800" s="12" t="s">
        <v>26</v>
      </c>
      <c r="E800" s="13" t="s">
        <v>15</v>
      </c>
      <c r="F800" s="14">
        <v>0.029282407407407406</v>
      </c>
      <c r="G800" s="21"/>
    </row>
    <row r="801">
      <c r="A801" s="4" t="s">
        <v>733</v>
      </c>
      <c r="B801" s="10">
        <v>618718.0</v>
      </c>
      <c r="C801" s="16" t="s">
        <v>802</v>
      </c>
      <c r="D801" s="12" t="s">
        <v>26</v>
      </c>
      <c r="E801" s="13" t="s">
        <v>15</v>
      </c>
      <c r="F801" s="14">
        <v>0.031053240740740742</v>
      </c>
      <c r="G801" s="21"/>
    </row>
    <row r="802">
      <c r="A802" s="4" t="s">
        <v>733</v>
      </c>
      <c r="B802" s="10">
        <v>2814138.0</v>
      </c>
      <c r="C802" s="16" t="s">
        <v>803</v>
      </c>
      <c r="D802" s="12" t="s">
        <v>26</v>
      </c>
      <c r="E802" s="13" t="s">
        <v>15</v>
      </c>
      <c r="F802" s="14">
        <v>0.10895833333333334</v>
      </c>
      <c r="G802" s="21"/>
    </row>
    <row r="803">
      <c r="A803" s="4" t="s">
        <v>733</v>
      </c>
      <c r="B803" s="10">
        <v>2825411.0</v>
      </c>
      <c r="C803" s="16" t="s">
        <v>804</v>
      </c>
      <c r="D803" s="12" t="s">
        <v>26</v>
      </c>
      <c r="E803" s="13" t="s">
        <v>15</v>
      </c>
      <c r="F803" s="14">
        <v>0.01744212962962963</v>
      </c>
      <c r="G803" s="21"/>
    </row>
    <row r="804">
      <c r="A804" s="4" t="s">
        <v>733</v>
      </c>
      <c r="B804" s="10">
        <v>2863046.0</v>
      </c>
      <c r="C804" s="16" t="s">
        <v>805</v>
      </c>
      <c r="D804" s="12" t="s">
        <v>26</v>
      </c>
      <c r="E804" s="13" t="s">
        <v>15</v>
      </c>
      <c r="F804" s="14">
        <v>0.06585648148148149</v>
      </c>
      <c r="G804" s="21"/>
    </row>
    <row r="805">
      <c r="A805" s="4" t="s">
        <v>733</v>
      </c>
      <c r="B805" s="10">
        <v>2856077.0</v>
      </c>
      <c r="C805" s="16" t="s">
        <v>806</v>
      </c>
      <c r="D805" s="12" t="s">
        <v>26</v>
      </c>
      <c r="E805" s="13" t="s">
        <v>15</v>
      </c>
      <c r="F805" s="14">
        <v>0.08042824074074074</v>
      </c>
      <c r="G805" s="21"/>
    </row>
    <row r="806">
      <c r="A806" s="4" t="s">
        <v>733</v>
      </c>
      <c r="B806" s="10">
        <v>667381.0</v>
      </c>
      <c r="C806" s="16" t="s">
        <v>807</v>
      </c>
      <c r="D806" s="12" t="s">
        <v>26</v>
      </c>
      <c r="E806" s="13" t="s">
        <v>15</v>
      </c>
      <c r="F806" s="14">
        <v>0.05613425925925926</v>
      </c>
      <c r="G806" s="21"/>
    </row>
    <row r="807">
      <c r="A807" s="4" t="s">
        <v>733</v>
      </c>
      <c r="B807" s="10">
        <v>777348.0</v>
      </c>
      <c r="C807" s="16" t="s">
        <v>808</v>
      </c>
      <c r="D807" s="12" t="s">
        <v>26</v>
      </c>
      <c r="E807" s="13" t="s">
        <v>15</v>
      </c>
      <c r="F807" s="14">
        <v>0.01099537037037037</v>
      </c>
      <c r="G807" s="21"/>
    </row>
    <row r="808">
      <c r="A808" s="4" t="s">
        <v>733</v>
      </c>
      <c r="B808" s="10">
        <v>5040395.0</v>
      </c>
      <c r="C808" s="16" t="s">
        <v>809</v>
      </c>
      <c r="D808" s="12" t="s">
        <v>26</v>
      </c>
      <c r="E808" s="13" t="s">
        <v>15</v>
      </c>
      <c r="F808" s="14">
        <v>0.04645833333333333</v>
      </c>
      <c r="G808" s="21"/>
    </row>
    <row r="809">
      <c r="A809" s="4" t="s">
        <v>733</v>
      </c>
      <c r="B809" s="10">
        <v>2813260.0</v>
      </c>
      <c r="C809" s="16" t="s">
        <v>810</v>
      </c>
      <c r="D809" s="12" t="s">
        <v>26</v>
      </c>
      <c r="E809" s="13" t="s">
        <v>15</v>
      </c>
      <c r="F809" s="14">
        <v>0.04299768518518519</v>
      </c>
      <c r="G809" s="21"/>
    </row>
    <row r="810">
      <c r="A810" s="4" t="s">
        <v>733</v>
      </c>
      <c r="B810" s="10">
        <v>786423.0</v>
      </c>
      <c r="C810" s="16" t="s">
        <v>811</v>
      </c>
      <c r="D810" s="12" t="s">
        <v>26</v>
      </c>
      <c r="E810" s="13" t="s">
        <v>15</v>
      </c>
      <c r="F810" s="14">
        <v>0.028287037037037038</v>
      </c>
      <c r="G810" s="21"/>
    </row>
    <row r="811">
      <c r="A811" s="4" t="s">
        <v>733</v>
      </c>
      <c r="B811" s="10">
        <v>2211317.0</v>
      </c>
      <c r="C811" s="16" t="s">
        <v>812</v>
      </c>
      <c r="D811" s="12" t="s">
        <v>26</v>
      </c>
      <c r="E811" s="13" t="s">
        <v>15</v>
      </c>
      <c r="F811" s="14">
        <v>0.20336805555555557</v>
      </c>
      <c r="G811" s="21"/>
    </row>
    <row r="812">
      <c r="A812" s="4" t="s">
        <v>733</v>
      </c>
      <c r="B812" s="10">
        <v>2211318.0</v>
      </c>
      <c r="C812" s="16" t="s">
        <v>813</v>
      </c>
      <c r="D812" s="12" t="s">
        <v>26</v>
      </c>
      <c r="E812" s="13" t="s">
        <v>15</v>
      </c>
      <c r="F812" s="14">
        <v>0.16421296296296295</v>
      </c>
      <c r="G812" s="21"/>
    </row>
    <row r="813">
      <c r="A813" s="4" t="s">
        <v>733</v>
      </c>
      <c r="B813" s="10">
        <v>2243053.0</v>
      </c>
      <c r="C813" s="16" t="s">
        <v>814</v>
      </c>
      <c r="D813" s="12" t="s">
        <v>26</v>
      </c>
      <c r="E813" s="13" t="s">
        <v>15</v>
      </c>
      <c r="F813" s="14">
        <v>0.0571412037037037</v>
      </c>
      <c r="G813" s="21"/>
    </row>
    <row r="814">
      <c r="A814" s="4" t="s">
        <v>733</v>
      </c>
      <c r="B814" s="10">
        <v>2243054.0</v>
      </c>
      <c r="C814" s="16" t="s">
        <v>815</v>
      </c>
      <c r="D814" s="12" t="s">
        <v>26</v>
      </c>
      <c r="E814" s="13" t="s">
        <v>15</v>
      </c>
      <c r="F814" s="14">
        <v>0.056574074074074075</v>
      </c>
      <c r="G814" s="21"/>
    </row>
    <row r="815">
      <c r="A815" s="4" t="s">
        <v>733</v>
      </c>
      <c r="B815" s="10">
        <v>2817027.0</v>
      </c>
      <c r="C815" s="16" t="s">
        <v>816</v>
      </c>
      <c r="D815" s="12" t="s">
        <v>26</v>
      </c>
      <c r="E815" s="13" t="s">
        <v>15</v>
      </c>
      <c r="F815" s="14">
        <v>0.09582175925925926</v>
      </c>
      <c r="G815" s="21"/>
    </row>
    <row r="816">
      <c r="A816" s="4" t="s">
        <v>733</v>
      </c>
      <c r="B816" s="10">
        <v>2819185.0</v>
      </c>
      <c r="C816" s="16" t="s">
        <v>817</v>
      </c>
      <c r="D816" s="12" t="s">
        <v>26</v>
      </c>
      <c r="E816" s="13" t="s">
        <v>15</v>
      </c>
      <c r="F816" s="14">
        <v>0.06114583333333334</v>
      </c>
      <c r="G816" s="21"/>
    </row>
    <row r="817">
      <c r="A817" s="4" t="s">
        <v>733</v>
      </c>
      <c r="B817" s="10">
        <v>2823043.0</v>
      </c>
      <c r="C817" s="16" t="s">
        <v>818</v>
      </c>
      <c r="D817" s="12" t="s">
        <v>26</v>
      </c>
      <c r="E817" s="13" t="s">
        <v>15</v>
      </c>
      <c r="F817" s="14">
        <v>0.05935185185185185</v>
      </c>
      <c r="G817" s="21"/>
    </row>
    <row r="818">
      <c r="A818" s="4" t="s">
        <v>733</v>
      </c>
      <c r="B818" s="10">
        <v>2823072.0</v>
      </c>
      <c r="C818" s="16" t="s">
        <v>819</v>
      </c>
      <c r="D818" s="12" t="s">
        <v>26</v>
      </c>
      <c r="E818" s="13" t="s">
        <v>15</v>
      </c>
      <c r="F818" s="14">
        <v>0.10261574074074074</v>
      </c>
      <c r="G818" s="21"/>
    </row>
    <row r="819">
      <c r="A819" s="4" t="s">
        <v>733</v>
      </c>
      <c r="B819" s="10">
        <v>2823097.0</v>
      </c>
      <c r="C819" s="16" t="s">
        <v>820</v>
      </c>
      <c r="D819" s="12" t="s">
        <v>26</v>
      </c>
      <c r="E819" s="13" t="s">
        <v>15</v>
      </c>
      <c r="F819" s="14">
        <v>0.052800925925925925</v>
      </c>
      <c r="G819" s="21"/>
    </row>
    <row r="820">
      <c r="A820" s="4" t="s">
        <v>733</v>
      </c>
      <c r="B820" s="10">
        <v>2823098.0</v>
      </c>
      <c r="C820" s="16" t="s">
        <v>821</v>
      </c>
      <c r="D820" s="12" t="s">
        <v>26</v>
      </c>
      <c r="E820" s="13" t="s">
        <v>15</v>
      </c>
      <c r="F820" s="14">
        <v>0.01605324074074074</v>
      </c>
      <c r="G820" s="21"/>
    </row>
    <row r="821">
      <c r="A821" s="4" t="s">
        <v>733</v>
      </c>
      <c r="B821" s="10">
        <v>5019812.0</v>
      </c>
      <c r="C821" s="16" t="s">
        <v>822</v>
      </c>
      <c r="D821" s="12" t="s">
        <v>26</v>
      </c>
      <c r="E821" s="13" t="s">
        <v>15</v>
      </c>
      <c r="F821" s="14">
        <v>0.0596875</v>
      </c>
      <c r="G821" s="21"/>
    </row>
    <row r="822">
      <c r="A822" s="4" t="s">
        <v>733</v>
      </c>
      <c r="B822" s="10">
        <v>5019813.0</v>
      </c>
      <c r="C822" s="16" t="s">
        <v>823</v>
      </c>
      <c r="D822" s="12" t="s">
        <v>26</v>
      </c>
      <c r="E822" s="13" t="s">
        <v>15</v>
      </c>
      <c r="F822" s="14">
        <v>0.06487268518518519</v>
      </c>
      <c r="G822" s="21"/>
    </row>
    <row r="823">
      <c r="A823" s="4" t="s">
        <v>733</v>
      </c>
      <c r="B823" s="10">
        <v>2823564.0</v>
      </c>
      <c r="C823" s="16" t="s">
        <v>824</v>
      </c>
      <c r="D823" s="12" t="s">
        <v>26</v>
      </c>
      <c r="E823" s="13" t="s">
        <v>15</v>
      </c>
      <c r="F823" s="14">
        <v>0.031516203703703706</v>
      </c>
      <c r="G823" s="21"/>
    </row>
    <row r="824">
      <c r="A824" s="4" t="s">
        <v>733</v>
      </c>
      <c r="B824" s="10">
        <v>2817226.0</v>
      </c>
      <c r="C824" s="16" t="s">
        <v>825</v>
      </c>
      <c r="D824" s="12" t="s">
        <v>26</v>
      </c>
      <c r="E824" s="13" t="s">
        <v>15</v>
      </c>
      <c r="F824" s="14">
        <v>0.14979166666666666</v>
      </c>
      <c r="G824" s="21"/>
    </row>
    <row r="825">
      <c r="A825" s="4" t="s">
        <v>733</v>
      </c>
      <c r="B825" s="10">
        <v>2822461.0</v>
      </c>
      <c r="C825" s="16" t="s">
        <v>826</v>
      </c>
      <c r="D825" s="12" t="s">
        <v>26</v>
      </c>
      <c r="E825" s="13" t="s">
        <v>15</v>
      </c>
      <c r="F825" s="14">
        <v>0.0584837962962963</v>
      </c>
      <c r="G825" s="21"/>
    </row>
    <row r="826">
      <c r="A826" s="4" t="s">
        <v>733</v>
      </c>
      <c r="B826" s="10">
        <v>2828018.0</v>
      </c>
      <c r="C826" s="16" t="s">
        <v>827</v>
      </c>
      <c r="D826" s="12" t="s">
        <v>26</v>
      </c>
      <c r="E826" s="13" t="s">
        <v>15</v>
      </c>
      <c r="F826" s="14">
        <v>0.1136574074074074</v>
      </c>
      <c r="G826" s="21"/>
    </row>
    <row r="827">
      <c r="A827" s="4" t="s">
        <v>733</v>
      </c>
      <c r="B827" s="10">
        <v>2825746.0</v>
      </c>
      <c r="C827" s="16" t="s">
        <v>828</v>
      </c>
      <c r="D827" s="12" t="s">
        <v>26</v>
      </c>
      <c r="E827" s="13" t="s">
        <v>15</v>
      </c>
      <c r="F827" s="14">
        <v>0.0694675925925926</v>
      </c>
      <c r="G827" s="21"/>
    </row>
    <row r="828">
      <c r="A828" s="4" t="s">
        <v>733</v>
      </c>
      <c r="B828" s="10">
        <v>699332.0</v>
      </c>
      <c r="C828" s="16" t="s">
        <v>829</v>
      </c>
      <c r="D828" s="12" t="s">
        <v>26</v>
      </c>
      <c r="E828" s="13" t="s">
        <v>15</v>
      </c>
      <c r="F828" s="14">
        <v>0.060208333333333336</v>
      </c>
      <c r="G828" s="21"/>
    </row>
    <row r="829">
      <c r="A829" s="4" t="s">
        <v>733</v>
      </c>
      <c r="B829" s="10">
        <v>721913.0</v>
      </c>
      <c r="C829" s="16" t="s">
        <v>830</v>
      </c>
      <c r="D829" s="12" t="s">
        <v>26</v>
      </c>
      <c r="E829" s="13" t="s">
        <v>15</v>
      </c>
      <c r="F829" s="14">
        <v>0.10532407407407407</v>
      </c>
      <c r="G829" s="21"/>
    </row>
    <row r="830">
      <c r="A830" s="4" t="s">
        <v>733</v>
      </c>
      <c r="B830" s="10">
        <v>761931.0</v>
      </c>
      <c r="C830" s="16" t="s">
        <v>831</v>
      </c>
      <c r="D830" s="12" t="s">
        <v>26</v>
      </c>
      <c r="E830" s="13" t="s">
        <v>15</v>
      </c>
      <c r="F830" s="14">
        <v>0.09697916666666667</v>
      </c>
      <c r="G830" s="21"/>
    </row>
    <row r="831">
      <c r="A831" s="4" t="s">
        <v>733</v>
      </c>
      <c r="B831" s="10">
        <v>601772.0</v>
      </c>
      <c r="C831" s="16" t="s">
        <v>832</v>
      </c>
      <c r="D831" s="12" t="s">
        <v>26</v>
      </c>
      <c r="E831" s="13" t="s">
        <v>15</v>
      </c>
      <c r="F831" s="14">
        <v>0.039502314814814816</v>
      </c>
      <c r="G831" s="21"/>
    </row>
    <row r="832">
      <c r="A832" s="4" t="s">
        <v>733</v>
      </c>
      <c r="B832" s="10">
        <v>2887178.0</v>
      </c>
      <c r="C832" s="16" t="s">
        <v>833</v>
      </c>
      <c r="D832" s="12" t="s">
        <v>26</v>
      </c>
      <c r="E832" s="13" t="s">
        <v>15</v>
      </c>
      <c r="F832" s="14">
        <v>0.04451388888888889</v>
      </c>
      <c r="G832" s="21"/>
    </row>
    <row r="833">
      <c r="A833" s="4" t="s">
        <v>834</v>
      </c>
      <c r="B833" s="5" t="s">
        <v>8</v>
      </c>
      <c r="C833" s="6" t="s">
        <v>9</v>
      </c>
      <c r="D833" s="7" t="s">
        <v>3</v>
      </c>
      <c r="E833" s="7" t="s">
        <v>10</v>
      </c>
      <c r="F833" s="8" t="s">
        <v>11</v>
      </c>
      <c r="G833" s="9" t="s">
        <v>12</v>
      </c>
    </row>
    <row r="834">
      <c r="A834" s="4" t="s">
        <v>834</v>
      </c>
      <c r="B834" s="10">
        <v>2864005.0</v>
      </c>
      <c r="C834" s="16" t="s">
        <v>835</v>
      </c>
      <c r="D834" s="12" t="s">
        <v>31</v>
      </c>
      <c r="E834" s="13" t="s">
        <v>19</v>
      </c>
      <c r="F834" s="14">
        <v>0.03159722222222222</v>
      </c>
      <c r="G834" s="18" t="s">
        <v>836</v>
      </c>
    </row>
    <row r="835">
      <c r="A835" s="4" t="s">
        <v>834</v>
      </c>
      <c r="B835" s="10">
        <v>2423553.0</v>
      </c>
      <c r="C835" s="16" t="s">
        <v>837</v>
      </c>
      <c r="D835" s="12" t="s">
        <v>31</v>
      </c>
      <c r="E835" s="13" t="s">
        <v>15</v>
      </c>
      <c r="F835" s="14">
        <v>0.018298611111111113</v>
      </c>
      <c r="G835" s="17" t="s">
        <v>838</v>
      </c>
    </row>
    <row r="836">
      <c r="A836" s="4" t="s">
        <v>834</v>
      </c>
      <c r="B836" s="10">
        <v>3123063.0</v>
      </c>
      <c r="C836" s="16" t="s">
        <v>839</v>
      </c>
      <c r="D836" s="12" t="s">
        <v>31</v>
      </c>
      <c r="E836" s="13" t="s">
        <v>15</v>
      </c>
      <c r="F836" s="14">
        <v>0.05873842592592592</v>
      </c>
      <c r="G836" s="15" t="s">
        <v>840</v>
      </c>
    </row>
    <row r="837">
      <c r="A837" s="4" t="s">
        <v>834</v>
      </c>
      <c r="B837" s="10">
        <v>2424408.0</v>
      </c>
      <c r="C837" s="16" t="s">
        <v>841</v>
      </c>
      <c r="D837" s="12" t="s">
        <v>31</v>
      </c>
      <c r="E837" s="13" t="s">
        <v>15</v>
      </c>
      <c r="F837" s="14">
        <v>0.03274305555555555</v>
      </c>
      <c r="G837" s="17" t="s">
        <v>842</v>
      </c>
    </row>
    <row r="838">
      <c r="A838" s="4" t="s">
        <v>834</v>
      </c>
      <c r="B838" s="10">
        <v>777390.0</v>
      </c>
      <c r="C838" s="16" t="s">
        <v>843</v>
      </c>
      <c r="D838" s="12" t="s">
        <v>26</v>
      </c>
      <c r="E838" s="13" t="s">
        <v>38</v>
      </c>
      <c r="F838" s="14">
        <v>0.03436342592592593</v>
      </c>
      <c r="G838" s="15" t="s">
        <v>844</v>
      </c>
    </row>
    <row r="839">
      <c r="A839" s="4" t="s">
        <v>834</v>
      </c>
      <c r="B839" s="10">
        <v>2807860.0</v>
      </c>
      <c r="C839" s="16" t="s">
        <v>845</v>
      </c>
      <c r="D839" s="12" t="s">
        <v>26</v>
      </c>
      <c r="E839" s="13" t="s">
        <v>38</v>
      </c>
      <c r="F839" s="14">
        <v>0.06814814814814815</v>
      </c>
      <c r="G839" s="15" t="s">
        <v>846</v>
      </c>
    </row>
    <row r="840">
      <c r="A840" s="4" t="s">
        <v>834</v>
      </c>
      <c r="B840" s="10">
        <v>782136.0</v>
      </c>
      <c r="C840" s="16" t="s">
        <v>847</v>
      </c>
      <c r="D840" s="12" t="s">
        <v>26</v>
      </c>
      <c r="E840" s="13" t="s">
        <v>38</v>
      </c>
      <c r="F840" s="14">
        <v>0.03128472222222222</v>
      </c>
      <c r="G840" s="29" t="s">
        <v>848</v>
      </c>
    </row>
    <row r="841">
      <c r="A841" s="4" t="s">
        <v>834</v>
      </c>
      <c r="B841" s="10">
        <v>2212265.0</v>
      </c>
      <c r="C841" s="16" t="s">
        <v>849</v>
      </c>
      <c r="D841" s="12" t="s">
        <v>26</v>
      </c>
      <c r="E841" s="13" t="s">
        <v>38</v>
      </c>
      <c r="F841" s="14">
        <v>0.014479166666666666</v>
      </c>
      <c r="G841" s="29" t="s">
        <v>850</v>
      </c>
    </row>
    <row r="842">
      <c r="A842" s="4" t="s">
        <v>834</v>
      </c>
      <c r="B842" s="10">
        <v>2213242.0</v>
      </c>
      <c r="C842" s="16" t="s">
        <v>470</v>
      </c>
      <c r="D842" s="12" t="s">
        <v>26</v>
      </c>
      <c r="E842" s="13" t="s">
        <v>38</v>
      </c>
      <c r="F842" s="14">
        <v>0.029652777777777778</v>
      </c>
      <c r="G842" s="17" t="s">
        <v>851</v>
      </c>
    </row>
    <row r="843">
      <c r="A843" s="4" t="s">
        <v>834</v>
      </c>
      <c r="B843" s="10">
        <v>2804067.0</v>
      </c>
      <c r="C843" s="16" t="s">
        <v>852</v>
      </c>
      <c r="D843" s="12" t="s">
        <v>26</v>
      </c>
      <c r="E843" s="13" t="s">
        <v>38</v>
      </c>
      <c r="F843" s="14">
        <v>0.0234375</v>
      </c>
      <c r="G843" s="29" t="s">
        <v>853</v>
      </c>
    </row>
    <row r="844">
      <c r="A844" s="4" t="s">
        <v>834</v>
      </c>
      <c r="B844" s="10">
        <v>2810627.0</v>
      </c>
      <c r="C844" s="16" t="s">
        <v>854</v>
      </c>
      <c r="D844" s="12" t="s">
        <v>26</v>
      </c>
      <c r="E844" s="13" t="s">
        <v>38</v>
      </c>
      <c r="F844" s="14">
        <v>0.020266203703703703</v>
      </c>
      <c r="G844" s="29" t="s">
        <v>855</v>
      </c>
    </row>
    <row r="845">
      <c r="A845" s="4" t="s">
        <v>834</v>
      </c>
      <c r="B845" s="10">
        <v>2811711.0</v>
      </c>
      <c r="C845" s="16" t="s">
        <v>856</v>
      </c>
      <c r="D845" s="12" t="s">
        <v>26</v>
      </c>
      <c r="E845" s="13" t="s">
        <v>38</v>
      </c>
      <c r="F845" s="14">
        <v>0.015081018518518518</v>
      </c>
      <c r="G845" s="17" t="s">
        <v>591</v>
      </c>
    </row>
    <row r="846">
      <c r="A846" s="4" t="s">
        <v>834</v>
      </c>
      <c r="B846" s="10">
        <v>2813284.0</v>
      </c>
      <c r="C846" s="16" t="s">
        <v>857</v>
      </c>
      <c r="D846" s="12" t="s">
        <v>26</v>
      </c>
      <c r="E846" s="13" t="s">
        <v>38</v>
      </c>
      <c r="F846" s="14">
        <v>0.02652777777777778</v>
      </c>
      <c r="G846" s="17" t="s">
        <v>309</v>
      </c>
    </row>
    <row r="847">
      <c r="A847" s="4" t="s">
        <v>834</v>
      </c>
      <c r="B847" s="10">
        <v>2814098.0</v>
      </c>
      <c r="C847" s="16" t="s">
        <v>858</v>
      </c>
      <c r="D847" s="12" t="s">
        <v>26</v>
      </c>
      <c r="E847" s="13" t="s">
        <v>38</v>
      </c>
      <c r="F847" s="14">
        <v>0.01920138888888889</v>
      </c>
      <c r="G847" s="29"/>
    </row>
    <row r="848">
      <c r="A848" s="4" t="s">
        <v>834</v>
      </c>
      <c r="B848" s="10">
        <v>2818145.0</v>
      </c>
      <c r="C848" s="16" t="s">
        <v>859</v>
      </c>
      <c r="D848" s="12" t="s">
        <v>26</v>
      </c>
      <c r="E848" s="13" t="s">
        <v>38</v>
      </c>
      <c r="F848" s="14">
        <v>0.032372685185185185</v>
      </c>
      <c r="G848" s="29"/>
    </row>
    <row r="849">
      <c r="A849" s="4" t="s">
        <v>834</v>
      </c>
      <c r="B849" s="10">
        <v>2822593.0</v>
      </c>
      <c r="C849" s="16" t="s">
        <v>860</v>
      </c>
      <c r="D849" s="12" t="s">
        <v>26</v>
      </c>
      <c r="E849" s="13" t="s">
        <v>38</v>
      </c>
      <c r="F849" s="14">
        <v>0.07224537037037038</v>
      </c>
      <c r="G849" s="17"/>
    </row>
    <row r="850">
      <c r="A850" s="4" t="s">
        <v>834</v>
      </c>
      <c r="B850" s="10">
        <v>2823568.0</v>
      </c>
      <c r="C850" s="11" t="s">
        <v>861</v>
      </c>
      <c r="D850" s="12" t="s">
        <v>26</v>
      </c>
      <c r="E850" s="13" t="s">
        <v>38</v>
      </c>
      <c r="F850" s="14">
        <v>0.029837962962962962</v>
      </c>
      <c r="G850" s="17"/>
    </row>
    <row r="851">
      <c r="A851" s="4" t="s">
        <v>834</v>
      </c>
      <c r="B851" s="10">
        <v>2853001.0</v>
      </c>
      <c r="C851" s="16" t="s">
        <v>862</v>
      </c>
      <c r="D851" s="12" t="s">
        <v>26</v>
      </c>
      <c r="E851" s="13" t="s">
        <v>38</v>
      </c>
      <c r="F851" s="14">
        <v>0.031469907407407405</v>
      </c>
      <c r="G851" s="21"/>
    </row>
    <row r="852">
      <c r="A852" s="4" t="s">
        <v>834</v>
      </c>
      <c r="B852" s="10">
        <v>2864218.0</v>
      </c>
      <c r="C852" s="16" t="s">
        <v>863</v>
      </c>
      <c r="D852" s="12" t="s">
        <v>26</v>
      </c>
      <c r="E852" s="13" t="s">
        <v>38</v>
      </c>
      <c r="F852" s="14">
        <v>0.03523148148148148</v>
      </c>
      <c r="G852" s="21"/>
    </row>
    <row r="853">
      <c r="A853" s="4" t="s">
        <v>834</v>
      </c>
      <c r="B853" s="10">
        <v>2822030.0</v>
      </c>
      <c r="C853" s="16" t="s">
        <v>67</v>
      </c>
      <c r="D853" s="12" t="s">
        <v>26</v>
      </c>
      <c r="E853" s="13" t="s">
        <v>38</v>
      </c>
      <c r="F853" s="14">
        <v>0.036099537037037034</v>
      </c>
      <c r="G853" s="21"/>
    </row>
    <row r="854">
      <c r="A854" s="4" t="s">
        <v>834</v>
      </c>
      <c r="B854" s="10">
        <v>2887137.0</v>
      </c>
      <c r="C854" s="16" t="s">
        <v>864</v>
      </c>
      <c r="D854" s="12" t="s">
        <v>26</v>
      </c>
      <c r="E854" s="13" t="s">
        <v>38</v>
      </c>
      <c r="F854" s="14">
        <v>0.10951388888888888</v>
      </c>
      <c r="G854" s="21"/>
    </row>
    <row r="855">
      <c r="A855" s="4" t="s">
        <v>834</v>
      </c>
      <c r="B855" s="10">
        <v>2428537.0</v>
      </c>
      <c r="C855" s="16" t="s">
        <v>865</v>
      </c>
      <c r="D855" s="12" t="s">
        <v>26</v>
      </c>
      <c r="E855" s="13" t="s">
        <v>38</v>
      </c>
      <c r="F855" s="14">
        <v>0.05219907407407407</v>
      </c>
      <c r="G855" s="21"/>
    </row>
    <row r="856">
      <c r="A856" s="4" t="s">
        <v>834</v>
      </c>
      <c r="B856" s="10">
        <v>2895590.0</v>
      </c>
      <c r="C856" s="16" t="s">
        <v>866</v>
      </c>
      <c r="D856" s="12" t="s">
        <v>26</v>
      </c>
      <c r="E856" s="13" t="s">
        <v>38</v>
      </c>
      <c r="F856" s="14">
        <v>0.02767361111111111</v>
      </c>
      <c r="G856" s="21"/>
    </row>
    <row r="857">
      <c r="A857" s="4" t="s">
        <v>834</v>
      </c>
      <c r="B857" s="10">
        <v>5035801.0</v>
      </c>
      <c r="C857" s="16" t="s">
        <v>867</v>
      </c>
      <c r="D857" s="12" t="s">
        <v>26</v>
      </c>
      <c r="E857" s="13" t="s">
        <v>19</v>
      </c>
      <c r="F857" s="14">
        <v>0.17017361111111112</v>
      </c>
      <c r="G857" s="21"/>
    </row>
    <row r="858">
      <c r="A858" s="4" t="s">
        <v>834</v>
      </c>
      <c r="B858" s="10">
        <v>5030976.0</v>
      </c>
      <c r="C858" s="16" t="s">
        <v>617</v>
      </c>
      <c r="D858" s="12" t="s">
        <v>26</v>
      </c>
      <c r="E858" s="13" t="s">
        <v>19</v>
      </c>
      <c r="F858" s="14">
        <v>0.05987268518518519</v>
      </c>
      <c r="G858" s="21"/>
    </row>
    <row r="859">
      <c r="A859" s="4" t="s">
        <v>834</v>
      </c>
      <c r="B859" s="10">
        <v>2840016.0</v>
      </c>
      <c r="C859" s="16" t="s">
        <v>614</v>
      </c>
      <c r="D859" s="12" t="s">
        <v>26</v>
      </c>
      <c r="E859" s="13" t="s">
        <v>19</v>
      </c>
      <c r="F859" s="14">
        <v>0.03221064814814815</v>
      </c>
      <c r="G859" s="21"/>
    </row>
    <row r="860">
      <c r="A860" s="4" t="s">
        <v>834</v>
      </c>
      <c r="B860" s="10">
        <v>667377.0</v>
      </c>
      <c r="C860" s="16" t="s">
        <v>868</v>
      </c>
      <c r="D860" s="12" t="s">
        <v>26</v>
      </c>
      <c r="E860" s="13" t="s">
        <v>15</v>
      </c>
      <c r="F860" s="14">
        <v>0.08788194444444444</v>
      </c>
      <c r="G860" s="21"/>
    </row>
    <row r="861">
      <c r="A861" s="4" t="s">
        <v>834</v>
      </c>
      <c r="B861" s="10">
        <v>647671.0</v>
      </c>
      <c r="C861" s="16" t="s">
        <v>869</v>
      </c>
      <c r="D861" s="12" t="s">
        <v>26</v>
      </c>
      <c r="E861" s="13" t="s">
        <v>15</v>
      </c>
      <c r="F861" s="14">
        <v>0.029305555555555557</v>
      </c>
      <c r="G861" s="21"/>
    </row>
    <row r="862">
      <c r="A862" s="4" t="s">
        <v>834</v>
      </c>
      <c r="B862" s="10">
        <v>2823559.0</v>
      </c>
      <c r="C862" s="16" t="s">
        <v>870</v>
      </c>
      <c r="D862" s="12" t="s">
        <v>26</v>
      </c>
      <c r="E862" s="13" t="s">
        <v>15</v>
      </c>
      <c r="F862" s="14">
        <v>0.015671296296296298</v>
      </c>
      <c r="G862" s="21"/>
    </row>
    <row r="863">
      <c r="A863" s="4" t="s">
        <v>834</v>
      </c>
      <c r="B863" s="10">
        <v>2841547.0</v>
      </c>
      <c r="C863" s="16" t="s">
        <v>634</v>
      </c>
      <c r="D863" s="12" t="s">
        <v>26</v>
      </c>
      <c r="E863" s="13" t="s">
        <v>15</v>
      </c>
      <c r="F863" s="14">
        <v>0.018090277777777778</v>
      </c>
      <c r="G863" s="21"/>
    </row>
    <row r="864">
      <c r="A864" s="4" t="s">
        <v>834</v>
      </c>
      <c r="B864" s="10">
        <v>2841392.0</v>
      </c>
      <c r="C864" s="16" t="s">
        <v>871</v>
      </c>
      <c r="D864" s="12" t="s">
        <v>26</v>
      </c>
      <c r="E864" s="13" t="s">
        <v>15</v>
      </c>
      <c r="F864" s="14">
        <v>0.12711805555555555</v>
      </c>
      <c r="G864" s="21"/>
    </row>
    <row r="865">
      <c r="A865" s="4" t="s">
        <v>834</v>
      </c>
      <c r="B865" s="10">
        <v>2809590.0</v>
      </c>
      <c r="C865" s="16" t="s">
        <v>872</v>
      </c>
      <c r="D865" s="12" t="s">
        <v>26</v>
      </c>
      <c r="E865" s="13" t="s">
        <v>15</v>
      </c>
      <c r="F865" s="14">
        <v>0.08684027777777778</v>
      </c>
      <c r="G865" s="21"/>
    </row>
    <row r="866">
      <c r="A866" s="4" t="s">
        <v>834</v>
      </c>
      <c r="B866" s="10">
        <v>2229236.0</v>
      </c>
      <c r="C866" s="16" t="s">
        <v>873</v>
      </c>
      <c r="D866" s="12" t="s">
        <v>26</v>
      </c>
      <c r="E866" s="13" t="s">
        <v>15</v>
      </c>
      <c r="F866" s="14">
        <v>0.020763888888888887</v>
      </c>
      <c r="G866" s="21"/>
    </row>
    <row r="867">
      <c r="A867" s="4" t="s">
        <v>834</v>
      </c>
      <c r="B867" s="10">
        <v>2820018.0</v>
      </c>
      <c r="C867" s="16" t="s">
        <v>874</v>
      </c>
      <c r="D867" s="12" t="s">
        <v>26</v>
      </c>
      <c r="E867" s="13" t="s">
        <v>15</v>
      </c>
      <c r="F867" s="14">
        <v>0.04587962962962963</v>
      </c>
      <c r="G867" s="21"/>
    </row>
    <row r="868">
      <c r="A868" s="4" t="s">
        <v>834</v>
      </c>
      <c r="B868" s="10">
        <v>2811351.0</v>
      </c>
      <c r="C868" s="16" t="s">
        <v>875</v>
      </c>
      <c r="D868" s="12" t="s">
        <v>26</v>
      </c>
      <c r="E868" s="13" t="s">
        <v>15</v>
      </c>
      <c r="F868" s="14">
        <v>0.02847222222222222</v>
      </c>
      <c r="G868" s="21"/>
    </row>
    <row r="869">
      <c r="A869" s="4" t="s">
        <v>834</v>
      </c>
      <c r="B869" s="10">
        <v>2822411.0</v>
      </c>
      <c r="C869" s="16" t="s">
        <v>876</v>
      </c>
      <c r="D869" s="12" t="s">
        <v>26</v>
      </c>
      <c r="E869" s="13" t="s">
        <v>15</v>
      </c>
      <c r="F869" s="14">
        <v>0.02263888888888889</v>
      </c>
      <c r="G869" s="21"/>
    </row>
    <row r="870">
      <c r="A870" s="4" t="s">
        <v>834</v>
      </c>
      <c r="B870" s="10">
        <v>2822428.0</v>
      </c>
      <c r="C870" s="16" t="s">
        <v>877</v>
      </c>
      <c r="D870" s="12" t="s">
        <v>26</v>
      </c>
      <c r="E870" s="13" t="s">
        <v>15</v>
      </c>
      <c r="F870" s="14">
        <v>0.01664351851851852</v>
      </c>
      <c r="G870" s="21"/>
    </row>
    <row r="871">
      <c r="A871" s="4" t="s">
        <v>834</v>
      </c>
      <c r="B871" s="10">
        <v>2825605.0</v>
      </c>
      <c r="C871" s="16" t="s">
        <v>878</v>
      </c>
      <c r="D871" s="12" t="s">
        <v>26</v>
      </c>
      <c r="E871" s="13" t="s">
        <v>15</v>
      </c>
      <c r="F871" s="14">
        <v>0.06771990740740741</v>
      </c>
      <c r="G871" s="21"/>
    </row>
    <row r="872">
      <c r="A872" s="4" t="s">
        <v>834</v>
      </c>
      <c r="B872" s="10">
        <v>2976142.0</v>
      </c>
      <c r="C872" s="16" t="s">
        <v>879</v>
      </c>
      <c r="D872" s="12" t="s">
        <v>26</v>
      </c>
      <c r="E872" s="13" t="s">
        <v>15</v>
      </c>
      <c r="F872" s="14">
        <v>0.044409722222222225</v>
      </c>
      <c r="G872" s="21"/>
    </row>
    <row r="873">
      <c r="A873" s="4" t="s">
        <v>834</v>
      </c>
      <c r="B873" s="10">
        <v>2825438.0</v>
      </c>
      <c r="C873" s="16" t="s">
        <v>880</v>
      </c>
      <c r="D873" s="12" t="s">
        <v>26</v>
      </c>
      <c r="E873" s="13" t="s">
        <v>15</v>
      </c>
      <c r="F873" s="14">
        <v>0.029756944444444444</v>
      </c>
      <c r="G873" s="21"/>
    </row>
    <row r="874">
      <c r="A874" s="4" t="s">
        <v>834</v>
      </c>
      <c r="B874" s="10">
        <v>2975172.0</v>
      </c>
      <c r="C874" s="16" t="s">
        <v>881</v>
      </c>
      <c r="D874" s="12" t="s">
        <v>26</v>
      </c>
      <c r="E874" s="13" t="s">
        <v>15</v>
      </c>
      <c r="F874" s="14">
        <v>0.012708333333333334</v>
      </c>
      <c r="G874" s="21"/>
    </row>
    <row r="875">
      <c r="A875" s="4" t="s">
        <v>834</v>
      </c>
      <c r="B875" s="10">
        <v>772321.0</v>
      </c>
      <c r="C875" s="16" t="s">
        <v>882</v>
      </c>
      <c r="D875" s="12" t="s">
        <v>26</v>
      </c>
      <c r="E875" s="13" t="s">
        <v>109</v>
      </c>
      <c r="F875" s="14">
        <v>0.03019675925925926</v>
      </c>
      <c r="G875" s="21"/>
    </row>
    <row r="876">
      <c r="A876" s="4" t="s">
        <v>834</v>
      </c>
      <c r="B876" s="10">
        <v>5022325.0</v>
      </c>
      <c r="C876" s="16" t="s">
        <v>883</v>
      </c>
      <c r="D876" s="12" t="s">
        <v>26</v>
      </c>
      <c r="E876" s="13" t="s">
        <v>109</v>
      </c>
      <c r="F876" s="14">
        <v>0.044537037037037035</v>
      </c>
      <c r="G876" s="21"/>
    </row>
    <row r="877">
      <c r="A877" s="4" t="s">
        <v>834</v>
      </c>
      <c r="B877" s="10">
        <v>2812133.0</v>
      </c>
      <c r="C877" s="16" t="s">
        <v>884</v>
      </c>
      <c r="D877" s="12" t="s">
        <v>26</v>
      </c>
      <c r="E877" s="13" t="s">
        <v>109</v>
      </c>
      <c r="F877" s="14">
        <v>0.047546296296296295</v>
      </c>
      <c r="G877" s="21"/>
    </row>
    <row r="878">
      <c r="A878" s="4" t="s">
        <v>834</v>
      </c>
      <c r="B878" s="10">
        <v>2825682.0</v>
      </c>
      <c r="C878" s="16" t="s">
        <v>759</v>
      </c>
      <c r="D878" s="12" t="s">
        <v>26</v>
      </c>
      <c r="E878" s="13" t="s">
        <v>109</v>
      </c>
      <c r="F878" s="14">
        <v>0.018252314814814815</v>
      </c>
      <c r="G878" s="21"/>
    </row>
    <row r="879">
      <c r="A879" s="4" t="s">
        <v>834</v>
      </c>
      <c r="B879" s="10">
        <v>2242040.0</v>
      </c>
      <c r="C879" s="16" t="s">
        <v>885</v>
      </c>
      <c r="D879" s="12" t="s">
        <v>26</v>
      </c>
      <c r="E879" s="13" t="s">
        <v>26</v>
      </c>
      <c r="F879" s="14">
        <v>0.009548611111111112</v>
      </c>
      <c r="G879" s="21"/>
    </row>
    <row r="880">
      <c r="A880" s="4" t="s">
        <v>834</v>
      </c>
      <c r="B880" s="10">
        <v>2825437.0</v>
      </c>
      <c r="C880" s="16" t="s">
        <v>886</v>
      </c>
      <c r="D880" s="12" t="s">
        <v>26</v>
      </c>
      <c r="E880" s="13" t="s">
        <v>26</v>
      </c>
      <c r="F880" s="14">
        <v>0.02457175925925926</v>
      </c>
      <c r="G880" s="21"/>
    </row>
    <row r="881">
      <c r="A881" s="4" t="s">
        <v>834</v>
      </c>
      <c r="B881" s="10">
        <v>2818050.0</v>
      </c>
      <c r="C881" s="16" t="s">
        <v>887</v>
      </c>
      <c r="D881" s="12" t="s">
        <v>26</v>
      </c>
      <c r="E881" s="13" t="s">
        <v>26</v>
      </c>
      <c r="F881" s="14">
        <v>0.0647337962962963</v>
      </c>
      <c r="G881" s="21"/>
    </row>
    <row r="882">
      <c r="A882" s="4" t="s">
        <v>834</v>
      </c>
      <c r="B882" s="10">
        <v>2800332.0</v>
      </c>
      <c r="C882" s="16" t="s">
        <v>888</v>
      </c>
      <c r="D882" s="12" t="s">
        <v>26</v>
      </c>
      <c r="E882" s="13" t="s">
        <v>26</v>
      </c>
      <c r="F882" s="14">
        <v>0.03540509259259259</v>
      </c>
      <c r="G882" s="21"/>
    </row>
    <row r="883">
      <c r="A883" s="4" t="s">
        <v>834</v>
      </c>
      <c r="B883" s="10">
        <v>2841399.0</v>
      </c>
      <c r="C883" s="16" t="s">
        <v>627</v>
      </c>
      <c r="D883" s="12" t="s">
        <v>26</v>
      </c>
      <c r="E883" s="13" t="s">
        <v>26</v>
      </c>
      <c r="F883" s="14">
        <v>0.02912037037037037</v>
      </c>
      <c r="G883" s="21"/>
    </row>
    <row r="884">
      <c r="A884" s="4" t="s">
        <v>889</v>
      </c>
      <c r="B884" s="5" t="s">
        <v>8</v>
      </c>
      <c r="C884" s="6" t="s">
        <v>9</v>
      </c>
      <c r="D884" s="7" t="s">
        <v>3</v>
      </c>
      <c r="E884" s="7" t="s">
        <v>10</v>
      </c>
      <c r="F884" s="8" t="s">
        <v>11</v>
      </c>
      <c r="G884" s="9" t="s">
        <v>12</v>
      </c>
    </row>
    <row r="885">
      <c r="A885" s="4" t="s">
        <v>889</v>
      </c>
      <c r="B885" s="10">
        <v>3008866.0</v>
      </c>
      <c r="C885" s="16" t="s">
        <v>890</v>
      </c>
      <c r="D885" s="12" t="s">
        <v>14</v>
      </c>
      <c r="E885" s="13" t="s">
        <v>38</v>
      </c>
      <c r="F885" s="14">
        <v>0.05116898148148148</v>
      </c>
      <c r="G885" s="15" t="s">
        <v>891</v>
      </c>
    </row>
    <row r="886">
      <c r="A886" s="4" t="s">
        <v>889</v>
      </c>
      <c r="B886" s="10">
        <v>2974327.0</v>
      </c>
      <c r="C886" s="16" t="s">
        <v>892</v>
      </c>
      <c r="D886" s="12" t="s">
        <v>14</v>
      </c>
      <c r="E886" s="13" t="s">
        <v>15</v>
      </c>
      <c r="F886" s="14">
        <v>0.03175925925925926</v>
      </c>
      <c r="G886" s="15" t="s">
        <v>893</v>
      </c>
    </row>
    <row r="887">
      <c r="A887" s="4" t="s">
        <v>889</v>
      </c>
      <c r="B887" s="10">
        <v>2819144.0</v>
      </c>
      <c r="C887" s="16" t="s">
        <v>894</v>
      </c>
      <c r="D887" s="12" t="s">
        <v>14</v>
      </c>
      <c r="E887" s="13" t="s">
        <v>15</v>
      </c>
      <c r="F887" s="14">
        <v>0.027766203703703703</v>
      </c>
      <c r="G887" s="15" t="s">
        <v>895</v>
      </c>
    </row>
    <row r="888">
      <c r="A888" s="4" t="s">
        <v>889</v>
      </c>
      <c r="B888" s="10">
        <v>184803.0</v>
      </c>
      <c r="C888" s="16" t="s">
        <v>896</v>
      </c>
      <c r="D888" s="12" t="s">
        <v>34</v>
      </c>
      <c r="E888" s="13" t="s">
        <v>38</v>
      </c>
      <c r="F888" s="14">
        <v>0.10337962962962963</v>
      </c>
      <c r="G888" s="18" t="s">
        <v>897</v>
      </c>
    </row>
    <row r="889">
      <c r="A889" s="4" t="s">
        <v>889</v>
      </c>
      <c r="B889" s="10">
        <v>2806199.0</v>
      </c>
      <c r="C889" s="16" t="s">
        <v>898</v>
      </c>
      <c r="D889" s="12" t="s">
        <v>34</v>
      </c>
      <c r="E889" s="13" t="s">
        <v>38</v>
      </c>
      <c r="F889" s="14">
        <v>0.022893518518518518</v>
      </c>
      <c r="G889" s="15" t="s">
        <v>899</v>
      </c>
    </row>
    <row r="890">
      <c r="A890" s="4" t="s">
        <v>889</v>
      </c>
      <c r="B890" s="10">
        <v>3014060.0</v>
      </c>
      <c r="C890" s="16" t="s">
        <v>900</v>
      </c>
      <c r="D890" s="12" t="s">
        <v>34</v>
      </c>
      <c r="E890" s="13" t="s">
        <v>15</v>
      </c>
      <c r="F890" s="14">
        <v>0.07369212962962964</v>
      </c>
      <c r="G890" s="15" t="s">
        <v>901</v>
      </c>
    </row>
    <row r="891">
      <c r="A891" s="4" t="s">
        <v>889</v>
      </c>
      <c r="B891" s="10">
        <v>2849192.0</v>
      </c>
      <c r="C891" s="16" t="s">
        <v>902</v>
      </c>
      <c r="D891" s="12" t="s">
        <v>31</v>
      </c>
      <c r="E891" s="13" t="s">
        <v>38</v>
      </c>
      <c r="F891" s="14">
        <v>0.029305555555555557</v>
      </c>
      <c r="G891" s="15" t="s">
        <v>903</v>
      </c>
    </row>
    <row r="892">
      <c r="A892" s="4" t="s">
        <v>889</v>
      </c>
      <c r="B892" s="10">
        <v>2884193.0</v>
      </c>
      <c r="C892" s="16" t="s">
        <v>904</v>
      </c>
      <c r="D892" s="12" t="s">
        <v>31</v>
      </c>
      <c r="E892" s="13" t="s">
        <v>15</v>
      </c>
      <c r="F892" s="14">
        <v>0.04142361111111111</v>
      </c>
      <c r="G892" s="15" t="s">
        <v>905</v>
      </c>
    </row>
    <row r="893">
      <c r="A893" s="4" t="s">
        <v>889</v>
      </c>
      <c r="B893" s="10">
        <v>2887257.0</v>
      </c>
      <c r="C893" s="16" t="s">
        <v>906</v>
      </c>
      <c r="D893" s="12" t="s">
        <v>31</v>
      </c>
      <c r="E893" s="13" t="s">
        <v>15</v>
      </c>
      <c r="F893" s="14">
        <v>0.040532407407407406</v>
      </c>
      <c r="G893" s="15" t="s">
        <v>907</v>
      </c>
    </row>
    <row r="894">
      <c r="A894" s="4" t="s">
        <v>889</v>
      </c>
      <c r="B894" s="10">
        <v>3129469.0</v>
      </c>
      <c r="C894" s="16" t="s">
        <v>908</v>
      </c>
      <c r="D894" s="12" t="s">
        <v>31</v>
      </c>
      <c r="E894" s="13" t="s">
        <v>15</v>
      </c>
      <c r="F894" s="14">
        <v>0.06930555555555555</v>
      </c>
      <c r="G894" s="15"/>
    </row>
    <row r="895">
      <c r="A895" s="4" t="s">
        <v>889</v>
      </c>
      <c r="B895" s="10">
        <v>765310.0</v>
      </c>
      <c r="C895" s="16" t="s">
        <v>909</v>
      </c>
      <c r="D895" s="12" t="s">
        <v>31</v>
      </c>
      <c r="E895" s="13" t="s">
        <v>26</v>
      </c>
      <c r="F895" s="14">
        <v>0.028333333333333332</v>
      </c>
      <c r="G895" s="15"/>
    </row>
    <row r="896">
      <c r="A896" s="4" t="s">
        <v>889</v>
      </c>
      <c r="B896" s="10">
        <v>664827.0</v>
      </c>
      <c r="C896" s="16" t="s">
        <v>751</v>
      </c>
      <c r="D896" s="12" t="s">
        <v>26</v>
      </c>
      <c r="E896" s="13" t="s">
        <v>109</v>
      </c>
      <c r="F896" s="14">
        <v>0.04528935185185185</v>
      </c>
      <c r="G896" s="21"/>
    </row>
    <row r="897">
      <c r="A897" s="4" t="s">
        <v>889</v>
      </c>
      <c r="B897" s="10">
        <v>728402.0</v>
      </c>
      <c r="C897" s="16" t="s">
        <v>910</v>
      </c>
      <c r="D897" s="12" t="s">
        <v>26</v>
      </c>
      <c r="E897" s="13" t="s">
        <v>109</v>
      </c>
      <c r="F897" s="14">
        <v>0.034479166666666665</v>
      </c>
      <c r="G897" s="21"/>
    </row>
    <row r="898">
      <c r="A898" s="4" t="s">
        <v>889</v>
      </c>
      <c r="B898" s="10">
        <v>728374.0</v>
      </c>
      <c r="C898" s="16" t="s">
        <v>911</v>
      </c>
      <c r="D898" s="12" t="s">
        <v>26</v>
      </c>
      <c r="E898" s="13" t="s">
        <v>109</v>
      </c>
      <c r="F898" s="14">
        <v>0.020775462962962964</v>
      </c>
      <c r="G898" s="21"/>
    </row>
    <row r="899">
      <c r="A899" s="4" t="s">
        <v>889</v>
      </c>
      <c r="B899" s="10">
        <v>2823067.0</v>
      </c>
      <c r="C899" s="16" t="s">
        <v>912</v>
      </c>
      <c r="D899" s="12" t="s">
        <v>26</v>
      </c>
      <c r="E899" s="13" t="s">
        <v>109</v>
      </c>
      <c r="F899" s="14">
        <v>0.061921296296296294</v>
      </c>
      <c r="G899" s="21"/>
    </row>
    <row r="900">
      <c r="A900" s="4" t="s">
        <v>889</v>
      </c>
      <c r="B900" s="10">
        <v>2848324.0</v>
      </c>
      <c r="C900" s="16" t="s">
        <v>913</v>
      </c>
      <c r="D900" s="12" t="s">
        <v>26</v>
      </c>
      <c r="E900" s="13" t="s">
        <v>38</v>
      </c>
      <c r="F900" s="14">
        <v>0.04173611111111111</v>
      </c>
      <c r="G900" s="21"/>
    </row>
    <row r="901">
      <c r="A901" s="4" t="s">
        <v>889</v>
      </c>
      <c r="B901" s="10">
        <v>2849263.0</v>
      </c>
      <c r="C901" s="16" t="s">
        <v>914</v>
      </c>
      <c r="D901" s="12" t="s">
        <v>26</v>
      </c>
      <c r="E901" s="13" t="s">
        <v>38</v>
      </c>
      <c r="F901" s="14">
        <v>0.06336805555555555</v>
      </c>
      <c r="G901" s="21"/>
    </row>
    <row r="902">
      <c r="A902" s="4" t="s">
        <v>889</v>
      </c>
      <c r="B902" s="10">
        <v>777378.0</v>
      </c>
      <c r="C902" s="16" t="s">
        <v>915</v>
      </c>
      <c r="D902" s="12" t="s">
        <v>26</v>
      </c>
      <c r="E902" s="13" t="s">
        <v>38</v>
      </c>
      <c r="F902" s="14">
        <v>0.08399305555555556</v>
      </c>
      <c r="G902" s="22"/>
    </row>
    <row r="903">
      <c r="A903" s="4" t="s">
        <v>889</v>
      </c>
      <c r="B903" s="10">
        <v>779741.0</v>
      </c>
      <c r="C903" s="16" t="s">
        <v>916</v>
      </c>
      <c r="D903" s="12" t="s">
        <v>26</v>
      </c>
      <c r="E903" s="13" t="s">
        <v>38</v>
      </c>
      <c r="F903" s="14">
        <v>0.0693287037037037</v>
      </c>
      <c r="G903" s="21"/>
    </row>
    <row r="904">
      <c r="A904" s="4" t="s">
        <v>889</v>
      </c>
      <c r="B904" s="10">
        <v>779742.0</v>
      </c>
      <c r="C904" s="16" t="s">
        <v>917</v>
      </c>
      <c r="D904" s="12" t="s">
        <v>26</v>
      </c>
      <c r="E904" s="13" t="s">
        <v>38</v>
      </c>
      <c r="F904" s="14">
        <v>0.06753472222222222</v>
      </c>
      <c r="G904" s="21"/>
    </row>
    <row r="905">
      <c r="A905" s="4" t="s">
        <v>889</v>
      </c>
      <c r="B905" s="10">
        <v>699335.0</v>
      </c>
      <c r="C905" s="16" t="s">
        <v>918</v>
      </c>
      <c r="D905" s="12" t="s">
        <v>26</v>
      </c>
      <c r="E905" s="13" t="s">
        <v>38</v>
      </c>
      <c r="F905" s="14">
        <v>0.07378472222222222</v>
      </c>
      <c r="G905" s="21"/>
    </row>
    <row r="906">
      <c r="A906" s="4" t="s">
        <v>889</v>
      </c>
      <c r="B906" s="10">
        <v>786356.0</v>
      </c>
      <c r="C906" s="16" t="s">
        <v>919</v>
      </c>
      <c r="D906" s="12" t="s">
        <v>26</v>
      </c>
      <c r="E906" s="13" t="s">
        <v>38</v>
      </c>
      <c r="F906" s="14">
        <v>0.07509259259259259</v>
      </c>
      <c r="G906" s="21"/>
    </row>
    <row r="907">
      <c r="A907" s="4" t="s">
        <v>889</v>
      </c>
      <c r="B907" s="10">
        <v>777379.0</v>
      </c>
      <c r="C907" s="16" t="s">
        <v>920</v>
      </c>
      <c r="D907" s="12" t="s">
        <v>26</v>
      </c>
      <c r="E907" s="13" t="s">
        <v>38</v>
      </c>
      <c r="F907" s="14">
        <v>0.11116898148148148</v>
      </c>
      <c r="G907" s="21"/>
    </row>
    <row r="908">
      <c r="A908" s="4" t="s">
        <v>889</v>
      </c>
      <c r="B908" s="10">
        <v>779740.0</v>
      </c>
      <c r="C908" s="16" t="s">
        <v>921</v>
      </c>
      <c r="D908" s="12" t="s">
        <v>26</v>
      </c>
      <c r="E908" s="13" t="s">
        <v>38</v>
      </c>
      <c r="F908" s="14">
        <v>0.0862962962962963</v>
      </c>
      <c r="G908" s="21"/>
    </row>
    <row r="909">
      <c r="A909" s="4" t="s">
        <v>889</v>
      </c>
      <c r="B909" s="10">
        <v>174916.0</v>
      </c>
      <c r="C909" s="16" t="s">
        <v>922</v>
      </c>
      <c r="D909" s="12" t="s">
        <v>26</v>
      </c>
      <c r="E909" s="13" t="s">
        <v>38</v>
      </c>
      <c r="F909" s="14">
        <v>0.07571759259259259</v>
      </c>
      <c r="G909" s="21"/>
    </row>
    <row r="910">
      <c r="A910" s="4" t="s">
        <v>889</v>
      </c>
      <c r="B910" s="10">
        <v>5038201.0</v>
      </c>
      <c r="C910" s="16" t="s">
        <v>923</v>
      </c>
      <c r="D910" s="12" t="s">
        <v>26</v>
      </c>
      <c r="E910" s="13" t="s">
        <v>38</v>
      </c>
      <c r="F910" s="14">
        <v>0.026458333333333334</v>
      </c>
      <c r="G910" s="21"/>
    </row>
    <row r="911">
      <c r="A911" s="4" t="s">
        <v>889</v>
      </c>
      <c r="B911" s="10">
        <v>5038202.0</v>
      </c>
      <c r="C911" s="16" t="s">
        <v>924</v>
      </c>
      <c r="D911" s="12" t="s">
        <v>26</v>
      </c>
      <c r="E911" s="13" t="s">
        <v>38</v>
      </c>
      <c r="F911" s="14">
        <v>0.058888888888888886</v>
      </c>
      <c r="G911" s="21"/>
    </row>
    <row r="912">
      <c r="A912" s="4" t="s">
        <v>889</v>
      </c>
      <c r="B912" s="10">
        <v>5043070.0</v>
      </c>
      <c r="C912" s="16" t="s">
        <v>925</v>
      </c>
      <c r="D912" s="12" t="s">
        <v>26</v>
      </c>
      <c r="E912" s="13" t="s">
        <v>38</v>
      </c>
      <c r="F912" s="14">
        <v>0.10908564814814815</v>
      </c>
      <c r="G912" s="21"/>
    </row>
    <row r="913">
      <c r="A913" s="4" t="s">
        <v>889</v>
      </c>
      <c r="B913" s="10">
        <v>5040386.0</v>
      </c>
      <c r="C913" s="16" t="s">
        <v>926</v>
      </c>
      <c r="D913" s="12" t="s">
        <v>26</v>
      </c>
      <c r="E913" s="13" t="s">
        <v>38</v>
      </c>
      <c r="F913" s="14">
        <v>0.05047453703703704</v>
      </c>
      <c r="G913" s="21"/>
    </row>
    <row r="914">
      <c r="A914" s="4" t="s">
        <v>889</v>
      </c>
      <c r="B914" s="10">
        <v>599602.0</v>
      </c>
      <c r="C914" s="16" t="s">
        <v>927</v>
      </c>
      <c r="D914" s="12" t="s">
        <v>26</v>
      </c>
      <c r="E914" s="13" t="s">
        <v>38</v>
      </c>
      <c r="F914" s="14">
        <v>0.06601851851851852</v>
      </c>
      <c r="G914" s="21"/>
    </row>
    <row r="915">
      <c r="A915" s="4" t="s">
        <v>889</v>
      </c>
      <c r="B915" s="10">
        <v>718626.0</v>
      </c>
      <c r="C915" s="16" t="s">
        <v>928</v>
      </c>
      <c r="D915" s="12" t="s">
        <v>26</v>
      </c>
      <c r="E915" s="13" t="s">
        <v>38</v>
      </c>
      <c r="F915" s="14">
        <v>0.04082175925925926</v>
      </c>
      <c r="G915" s="21"/>
    </row>
    <row r="916">
      <c r="A916" s="4" t="s">
        <v>889</v>
      </c>
      <c r="B916" s="10">
        <v>630615.0</v>
      </c>
      <c r="C916" s="16" t="s">
        <v>929</v>
      </c>
      <c r="D916" s="12" t="s">
        <v>26</v>
      </c>
      <c r="E916" s="13" t="s">
        <v>38</v>
      </c>
      <c r="F916" s="14">
        <v>0.05505787037037037</v>
      </c>
      <c r="G916" s="21"/>
    </row>
    <row r="917">
      <c r="A917" s="4" t="s">
        <v>889</v>
      </c>
      <c r="B917" s="10">
        <v>2800330.0</v>
      </c>
      <c r="C917" s="16" t="s">
        <v>930</v>
      </c>
      <c r="D917" s="12" t="s">
        <v>26</v>
      </c>
      <c r="E917" s="13" t="s">
        <v>38</v>
      </c>
      <c r="F917" s="14">
        <v>0.03116898148148148</v>
      </c>
      <c r="G917" s="21"/>
    </row>
    <row r="918">
      <c r="A918" s="4" t="s">
        <v>889</v>
      </c>
      <c r="B918" s="10">
        <v>2812490.0</v>
      </c>
      <c r="C918" s="16" t="s">
        <v>931</v>
      </c>
      <c r="D918" s="12" t="s">
        <v>26</v>
      </c>
      <c r="E918" s="13" t="s">
        <v>38</v>
      </c>
      <c r="F918" s="14">
        <v>0.06159722222222222</v>
      </c>
      <c r="G918" s="21"/>
    </row>
    <row r="919">
      <c r="A919" s="4" t="s">
        <v>889</v>
      </c>
      <c r="B919" s="10">
        <v>2815106.0</v>
      </c>
      <c r="C919" s="16" t="s">
        <v>932</v>
      </c>
      <c r="D919" s="12" t="s">
        <v>26</v>
      </c>
      <c r="E919" s="13" t="s">
        <v>38</v>
      </c>
      <c r="F919" s="14">
        <v>0.07592592592592592</v>
      </c>
      <c r="G919" s="21"/>
    </row>
    <row r="920">
      <c r="A920" s="4" t="s">
        <v>889</v>
      </c>
      <c r="B920" s="10">
        <v>5043068.0</v>
      </c>
      <c r="C920" s="16" t="s">
        <v>933</v>
      </c>
      <c r="D920" s="12" t="s">
        <v>26</v>
      </c>
      <c r="E920" s="13" t="s">
        <v>38</v>
      </c>
      <c r="F920" s="14">
        <v>0.08386574074074074</v>
      </c>
      <c r="G920" s="21"/>
    </row>
    <row r="921">
      <c r="A921" s="4" t="s">
        <v>889</v>
      </c>
      <c r="B921" s="10">
        <v>2832047.0</v>
      </c>
      <c r="C921" s="16" t="s">
        <v>934</v>
      </c>
      <c r="D921" s="12" t="s">
        <v>26</v>
      </c>
      <c r="E921" s="13" t="s">
        <v>38</v>
      </c>
      <c r="F921" s="14">
        <v>0.06723379629629629</v>
      </c>
      <c r="G921" s="21"/>
    </row>
    <row r="922">
      <c r="A922" s="4" t="s">
        <v>889</v>
      </c>
      <c r="B922" s="10">
        <v>188211.0</v>
      </c>
      <c r="C922" s="16" t="s">
        <v>935</v>
      </c>
      <c r="D922" s="12" t="s">
        <v>26</v>
      </c>
      <c r="E922" s="13" t="s">
        <v>38</v>
      </c>
      <c r="F922" s="14">
        <v>0.03553240740740741</v>
      </c>
      <c r="G922" s="21"/>
    </row>
    <row r="923">
      <c r="A923" s="4" t="s">
        <v>889</v>
      </c>
      <c r="B923" s="10">
        <v>2886049.0</v>
      </c>
      <c r="C923" s="16" t="s">
        <v>936</v>
      </c>
      <c r="D923" s="12" t="s">
        <v>26</v>
      </c>
      <c r="E923" s="13" t="s">
        <v>38</v>
      </c>
      <c r="F923" s="14">
        <v>0.044641203703703704</v>
      </c>
      <c r="G923" s="21"/>
    </row>
    <row r="924">
      <c r="A924" s="4" t="s">
        <v>889</v>
      </c>
      <c r="B924" s="10">
        <v>2881068.0</v>
      </c>
      <c r="C924" s="16" t="s">
        <v>937</v>
      </c>
      <c r="D924" s="12" t="s">
        <v>26</v>
      </c>
      <c r="E924" s="13" t="s">
        <v>38</v>
      </c>
      <c r="F924" s="14">
        <v>0.025243055555555557</v>
      </c>
      <c r="G924" s="21"/>
    </row>
    <row r="925">
      <c r="A925" s="4" t="s">
        <v>889</v>
      </c>
      <c r="B925" s="10">
        <v>2421750.0</v>
      </c>
      <c r="C925" s="16" t="s">
        <v>938</v>
      </c>
      <c r="D925" s="12" t="s">
        <v>26</v>
      </c>
      <c r="E925" s="13" t="s">
        <v>38</v>
      </c>
      <c r="F925" s="14">
        <v>0.04805555555555555</v>
      </c>
      <c r="G925" s="21"/>
    </row>
    <row r="926">
      <c r="A926" s="4" t="s">
        <v>889</v>
      </c>
      <c r="B926" s="10">
        <v>2887313.0</v>
      </c>
      <c r="C926" s="16" t="s">
        <v>939</v>
      </c>
      <c r="D926" s="12" t="s">
        <v>26</v>
      </c>
      <c r="E926" s="13" t="s">
        <v>38</v>
      </c>
      <c r="F926" s="14">
        <v>0.07393518518518519</v>
      </c>
      <c r="G926" s="21"/>
    </row>
    <row r="927">
      <c r="A927" s="4" t="s">
        <v>889</v>
      </c>
      <c r="B927" s="10">
        <v>2889063.0</v>
      </c>
      <c r="C927" s="16" t="s">
        <v>940</v>
      </c>
      <c r="D927" s="12" t="s">
        <v>26</v>
      </c>
      <c r="E927" s="13" t="s">
        <v>38</v>
      </c>
      <c r="F927" s="14">
        <v>0.047650462962962964</v>
      </c>
      <c r="G927" s="21"/>
    </row>
    <row r="928">
      <c r="A928" s="4" t="s">
        <v>889</v>
      </c>
      <c r="B928" s="10">
        <v>2878200.0</v>
      </c>
      <c r="C928" s="16" t="s">
        <v>941</v>
      </c>
      <c r="D928" s="12" t="s">
        <v>26</v>
      </c>
      <c r="E928" s="13" t="s">
        <v>19</v>
      </c>
      <c r="F928" s="14">
        <v>0.16766203703703703</v>
      </c>
      <c r="G928" s="21"/>
    </row>
    <row r="929">
      <c r="A929" s="4" t="s">
        <v>889</v>
      </c>
      <c r="B929" s="10">
        <v>786351.0</v>
      </c>
      <c r="C929" s="16" t="s">
        <v>942</v>
      </c>
      <c r="D929" s="12" t="s">
        <v>26</v>
      </c>
      <c r="E929" s="13" t="s">
        <v>19</v>
      </c>
      <c r="F929" s="14">
        <v>0.16930555555555554</v>
      </c>
      <c r="G929" s="21"/>
    </row>
    <row r="930">
      <c r="A930" s="4" t="s">
        <v>889</v>
      </c>
      <c r="B930" s="10">
        <v>713376.0</v>
      </c>
      <c r="C930" s="16" t="s">
        <v>943</v>
      </c>
      <c r="D930" s="12" t="s">
        <v>26</v>
      </c>
      <c r="E930" s="13" t="s">
        <v>19</v>
      </c>
      <c r="F930" s="14">
        <v>0.13708333333333333</v>
      </c>
      <c r="G930" s="21"/>
    </row>
    <row r="931">
      <c r="A931" s="4" t="s">
        <v>889</v>
      </c>
      <c r="B931" s="10">
        <v>608996.0</v>
      </c>
      <c r="C931" s="16" t="s">
        <v>944</v>
      </c>
      <c r="D931" s="12" t="s">
        <v>26</v>
      </c>
      <c r="E931" s="13" t="s">
        <v>19</v>
      </c>
      <c r="F931" s="14">
        <v>0.049791666666666665</v>
      </c>
      <c r="G931" s="21"/>
    </row>
    <row r="932">
      <c r="A932" s="4" t="s">
        <v>889</v>
      </c>
      <c r="B932" s="10">
        <v>713377.0</v>
      </c>
      <c r="C932" s="16" t="s">
        <v>945</v>
      </c>
      <c r="D932" s="12" t="s">
        <v>26</v>
      </c>
      <c r="E932" s="13" t="s">
        <v>19</v>
      </c>
      <c r="F932" s="14">
        <v>0.1451736111111111</v>
      </c>
      <c r="G932" s="21"/>
    </row>
    <row r="933">
      <c r="A933" s="4" t="s">
        <v>889</v>
      </c>
      <c r="B933" s="10">
        <v>2863039.0</v>
      </c>
      <c r="C933" s="16" t="s">
        <v>946</v>
      </c>
      <c r="D933" s="12" t="s">
        <v>26</v>
      </c>
      <c r="E933" s="13" t="s">
        <v>19</v>
      </c>
      <c r="F933" s="14">
        <v>0.024953703703703704</v>
      </c>
      <c r="G933" s="21"/>
    </row>
    <row r="934">
      <c r="A934" s="4" t="s">
        <v>889</v>
      </c>
      <c r="B934" s="10">
        <v>2837224.0</v>
      </c>
      <c r="C934" s="16" t="s">
        <v>947</v>
      </c>
      <c r="D934" s="12" t="s">
        <v>26</v>
      </c>
      <c r="E934" s="13" t="s">
        <v>19</v>
      </c>
      <c r="F934" s="14">
        <v>0.025358796296296296</v>
      </c>
      <c r="G934" s="21"/>
    </row>
    <row r="935">
      <c r="A935" s="4" t="s">
        <v>889</v>
      </c>
      <c r="B935" s="10">
        <v>765313.0</v>
      </c>
      <c r="C935" s="16" t="s">
        <v>948</v>
      </c>
      <c r="D935" s="12" t="s">
        <v>26</v>
      </c>
      <c r="E935" s="13" t="s">
        <v>19</v>
      </c>
      <c r="F935" s="14">
        <v>0.03844907407407407</v>
      </c>
      <c r="G935" s="21"/>
    </row>
    <row r="936">
      <c r="A936" s="4" t="s">
        <v>889</v>
      </c>
      <c r="B936" s="10">
        <v>639059.0</v>
      </c>
      <c r="C936" s="16" t="s">
        <v>949</v>
      </c>
      <c r="D936" s="12" t="s">
        <v>26</v>
      </c>
      <c r="E936" s="13" t="s">
        <v>19</v>
      </c>
      <c r="F936" s="14">
        <v>0.08429398148148148</v>
      </c>
      <c r="G936" s="21"/>
    </row>
    <row r="937">
      <c r="A937" s="4" t="s">
        <v>889</v>
      </c>
      <c r="B937" s="10">
        <v>697709.0</v>
      </c>
      <c r="C937" s="16" t="s">
        <v>950</v>
      </c>
      <c r="D937" s="12" t="s">
        <v>26</v>
      </c>
      <c r="E937" s="13" t="s">
        <v>19</v>
      </c>
      <c r="F937" s="14">
        <v>0.1253240740740741</v>
      </c>
      <c r="G937" s="21"/>
    </row>
    <row r="938">
      <c r="A938" s="4" t="s">
        <v>889</v>
      </c>
      <c r="B938" s="10">
        <v>5005044.0</v>
      </c>
      <c r="C938" s="16" t="s">
        <v>951</v>
      </c>
      <c r="D938" s="12" t="s">
        <v>26</v>
      </c>
      <c r="E938" s="13" t="s">
        <v>15</v>
      </c>
      <c r="F938" s="14">
        <v>0.04013888888888889</v>
      </c>
      <c r="G938" s="21"/>
    </row>
    <row r="939">
      <c r="A939" s="4" t="s">
        <v>889</v>
      </c>
      <c r="B939" s="10">
        <v>5043069.0</v>
      </c>
      <c r="C939" s="16" t="s">
        <v>952</v>
      </c>
      <c r="D939" s="12" t="s">
        <v>26</v>
      </c>
      <c r="E939" s="13" t="s">
        <v>15</v>
      </c>
      <c r="F939" s="14">
        <v>0.06295138888888889</v>
      </c>
      <c r="G939" s="21"/>
    </row>
    <row r="940">
      <c r="A940" s="4" t="s">
        <v>889</v>
      </c>
      <c r="B940" s="10">
        <v>2825616.0</v>
      </c>
      <c r="C940" s="16" t="s">
        <v>953</v>
      </c>
      <c r="D940" s="12" t="s">
        <v>26</v>
      </c>
      <c r="E940" s="13" t="s">
        <v>15</v>
      </c>
      <c r="F940" s="14">
        <v>0.03796296296296296</v>
      </c>
      <c r="G940" s="21"/>
    </row>
    <row r="941">
      <c r="A941" s="4" t="s">
        <v>889</v>
      </c>
      <c r="B941" s="10">
        <v>2852000.0</v>
      </c>
      <c r="C941" s="16" t="s">
        <v>954</v>
      </c>
      <c r="D941" s="12" t="s">
        <v>26</v>
      </c>
      <c r="E941" s="13" t="s">
        <v>15</v>
      </c>
      <c r="F941" s="14">
        <v>0.1150462962962963</v>
      </c>
      <c r="G941" s="21"/>
    </row>
    <row r="942">
      <c r="A942" s="4" t="s">
        <v>889</v>
      </c>
      <c r="B942" s="10">
        <v>368915.0</v>
      </c>
      <c r="C942" s="16" t="s">
        <v>955</v>
      </c>
      <c r="D942" s="12" t="s">
        <v>26</v>
      </c>
      <c r="E942" s="13" t="s">
        <v>15</v>
      </c>
      <c r="F942" s="14">
        <v>0.05797453703703704</v>
      </c>
      <c r="G942" s="21"/>
    </row>
    <row r="943">
      <c r="A943" s="4" t="s">
        <v>889</v>
      </c>
      <c r="B943" s="10">
        <v>696865.0</v>
      </c>
      <c r="C943" s="16" t="s">
        <v>956</v>
      </c>
      <c r="D943" s="12" t="s">
        <v>26</v>
      </c>
      <c r="E943" s="13" t="s">
        <v>15</v>
      </c>
      <c r="F943" s="14">
        <v>0.07893518518518519</v>
      </c>
      <c r="G943" s="21"/>
    </row>
    <row r="944">
      <c r="A944" s="4" t="s">
        <v>889</v>
      </c>
      <c r="B944" s="10">
        <v>2804051.0</v>
      </c>
      <c r="C944" s="16" t="s">
        <v>957</v>
      </c>
      <c r="D944" s="12" t="s">
        <v>26</v>
      </c>
      <c r="E944" s="13" t="s">
        <v>15</v>
      </c>
      <c r="F944" s="14">
        <v>0.07650462962962963</v>
      </c>
      <c r="G944" s="21"/>
    </row>
    <row r="945">
      <c r="A945" s="4" t="s">
        <v>889</v>
      </c>
      <c r="B945" s="10">
        <v>599601.0</v>
      </c>
      <c r="C945" s="16" t="s">
        <v>958</v>
      </c>
      <c r="D945" s="12" t="s">
        <v>26</v>
      </c>
      <c r="E945" s="13" t="s">
        <v>15</v>
      </c>
      <c r="F945" s="14">
        <v>0.043715277777777777</v>
      </c>
      <c r="G945" s="21"/>
    </row>
    <row r="946">
      <c r="A946" s="4" t="s">
        <v>889</v>
      </c>
      <c r="B946" s="10">
        <v>746307.0</v>
      </c>
      <c r="C946" s="16" t="s">
        <v>959</v>
      </c>
      <c r="D946" s="12" t="s">
        <v>26</v>
      </c>
      <c r="E946" s="13" t="s">
        <v>15</v>
      </c>
      <c r="F946" s="14">
        <v>0.03082175925925926</v>
      </c>
      <c r="G946" s="21"/>
    </row>
    <row r="947">
      <c r="A947" s="4" t="s">
        <v>889</v>
      </c>
      <c r="B947" s="10">
        <v>758618.0</v>
      </c>
      <c r="C947" s="16" t="s">
        <v>960</v>
      </c>
      <c r="D947" s="12" t="s">
        <v>26</v>
      </c>
      <c r="E947" s="13" t="s">
        <v>15</v>
      </c>
      <c r="F947" s="14">
        <v>0.04957175925925926</v>
      </c>
      <c r="G947" s="21"/>
    </row>
    <row r="948">
      <c r="A948" s="4" t="s">
        <v>889</v>
      </c>
      <c r="B948" s="10">
        <v>784276.0</v>
      </c>
      <c r="C948" s="16" t="s">
        <v>961</v>
      </c>
      <c r="D948" s="12" t="s">
        <v>26</v>
      </c>
      <c r="E948" s="13" t="s">
        <v>15</v>
      </c>
      <c r="F948" s="14">
        <v>0.0821412037037037</v>
      </c>
      <c r="G948" s="21"/>
    </row>
    <row r="949">
      <c r="A949" s="4" t="s">
        <v>889</v>
      </c>
      <c r="B949" s="10">
        <v>697706.0</v>
      </c>
      <c r="C949" s="16" t="s">
        <v>962</v>
      </c>
      <c r="D949" s="12" t="s">
        <v>26</v>
      </c>
      <c r="E949" s="13" t="s">
        <v>15</v>
      </c>
      <c r="F949" s="14">
        <v>0.10127314814814815</v>
      </c>
      <c r="G949" s="21"/>
    </row>
    <row r="950">
      <c r="A950" s="4" t="s">
        <v>889</v>
      </c>
      <c r="B950" s="10">
        <v>5015860.0</v>
      </c>
      <c r="C950" s="16" t="s">
        <v>963</v>
      </c>
      <c r="D950" s="12" t="s">
        <v>26</v>
      </c>
      <c r="E950" s="13" t="s">
        <v>15</v>
      </c>
      <c r="F950" s="14">
        <v>0.030601851851851852</v>
      </c>
      <c r="G950" s="21"/>
    </row>
    <row r="951">
      <c r="A951" s="4" t="s">
        <v>889</v>
      </c>
      <c r="B951" s="10">
        <v>609019.0</v>
      </c>
      <c r="C951" s="16" t="s">
        <v>964</v>
      </c>
      <c r="D951" s="12" t="s">
        <v>26</v>
      </c>
      <c r="E951" s="13" t="s">
        <v>15</v>
      </c>
      <c r="F951" s="14">
        <v>0.05386574074074074</v>
      </c>
      <c r="G951" s="21"/>
    </row>
    <row r="952">
      <c r="A952" s="4" t="s">
        <v>889</v>
      </c>
      <c r="B952" s="10">
        <v>622076.0</v>
      </c>
      <c r="C952" s="16" t="s">
        <v>965</v>
      </c>
      <c r="D952" s="12" t="s">
        <v>26</v>
      </c>
      <c r="E952" s="13" t="s">
        <v>15</v>
      </c>
      <c r="F952" s="14">
        <v>0.06221064814814815</v>
      </c>
      <c r="G952" s="21"/>
    </row>
    <row r="953">
      <c r="A953" s="4" t="s">
        <v>889</v>
      </c>
      <c r="B953" s="10">
        <v>622077.0</v>
      </c>
      <c r="C953" s="16" t="s">
        <v>966</v>
      </c>
      <c r="D953" s="12" t="s">
        <v>26</v>
      </c>
      <c r="E953" s="13" t="s">
        <v>15</v>
      </c>
      <c r="F953" s="14">
        <v>0.059988425925925924</v>
      </c>
      <c r="G953" s="21"/>
    </row>
    <row r="954">
      <c r="A954" s="4" t="s">
        <v>889</v>
      </c>
      <c r="B954" s="10">
        <v>672260.0</v>
      </c>
      <c r="C954" s="16" t="s">
        <v>967</v>
      </c>
      <c r="D954" s="12" t="s">
        <v>26</v>
      </c>
      <c r="E954" s="13" t="s">
        <v>15</v>
      </c>
      <c r="F954" s="14">
        <v>0.03418981481481481</v>
      </c>
      <c r="G954" s="21"/>
    </row>
    <row r="955">
      <c r="A955" s="4" t="s">
        <v>889</v>
      </c>
      <c r="B955" s="10">
        <v>2805906.0</v>
      </c>
      <c r="C955" s="16" t="s">
        <v>968</v>
      </c>
      <c r="D955" s="12" t="s">
        <v>26</v>
      </c>
      <c r="E955" s="13" t="s">
        <v>15</v>
      </c>
      <c r="F955" s="14">
        <v>0.07908564814814815</v>
      </c>
      <c r="G955" s="21"/>
    </row>
    <row r="956">
      <c r="A956" s="4" t="s">
        <v>889</v>
      </c>
      <c r="B956" s="10">
        <v>2815054.0</v>
      </c>
      <c r="C956" s="16" t="s">
        <v>969</v>
      </c>
      <c r="D956" s="12" t="s">
        <v>26</v>
      </c>
      <c r="E956" s="13" t="s">
        <v>15</v>
      </c>
      <c r="F956" s="14">
        <v>0.07209490740740741</v>
      </c>
      <c r="G956" s="21"/>
    </row>
    <row r="957">
      <c r="A957" s="4" t="s">
        <v>889</v>
      </c>
      <c r="B957" s="10">
        <v>2823100.0</v>
      </c>
      <c r="C957" s="16" t="s">
        <v>970</v>
      </c>
      <c r="D957" s="12" t="s">
        <v>26</v>
      </c>
      <c r="E957" s="13" t="s">
        <v>15</v>
      </c>
      <c r="F957" s="14">
        <v>0.04454861111111111</v>
      </c>
      <c r="G957" s="21"/>
    </row>
    <row r="958">
      <c r="A958" s="4" t="s">
        <v>889</v>
      </c>
      <c r="B958" s="10">
        <v>2825033.0</v>
      </c>
      <c r="C958" s="16" t="s">
        <v>971</v>
      </c>
      <c r="D958" s="12" t="s">
        <v>26</v>
      </c>
      <c r="E958" s="13" t="s">
        <v>15</v>
      </c>
      <c r="F958" s="14">
        <v>0.07377314814814814</v>
      </c>
      <c r="G958" s="21"/>
    </row>
    <row r="959">
      <c r="A959" s="4" t="s">
        <v>889</v>
      </c>
      <c r="B959" s="10">
        <v>2805121.0</v>
      </c>
      <c r="C959" s="16" t="s">
        <v>972</v>
      </c>
      <c r="D959" s="12" t="s">
        <v>26</v>
      </c>
      <c r="E959" s="13" t="s">
        <v>15</v>
      </c>
      <c r="F959" s="14">
        <v>0.03469907407407408</v>
      </c>
      <c r="G959" s="21"/>
    </row>
    <row r="960">
      <c r="A960" s="4" t="s">
        <v>889</v>
      </c>
      <c r="B960" s="10">
        <v>5019813.0</v>
      </c>
      <c r="C960" s="16" t="s">
        <v>823</v>
      </c>
      <c r="D960" s="12" t="s">
        <v>26</v>
      </c>
      <c r="E960" s="13" t="s">
        <v>15</v>
      </c>
      <c r="F960" s="14">
        <v>0.06487268518518519</v>
      </c>
      <c r="G960" s="21"/>
    </row>
    <row r="961">
      <c r="A961" s="4" t="s">
        <v>889</v>
      </c>
      <c r="B961" s="10">
        <v>2823136.0</v>
      </c>
      <c r="C961" s="16" t="s">
        <v>973</v>
      </c>
      <c r="D961" s="12" t="s">
        <v>26</v>
      </c>
      <c r="E961" s="13" t="s">
        <v>15</v>
      </c>
      <c r="F961" s="14">
        <v>0.060856481481481484</v>
      </c>
      <c r="G961" s="21"/>
    </row>
    <row r="962">
      <c r="A962" s="4" t="s">
        <v>889</v>
      </c>
      <c r="B962" s="10">
        <v>2823389.0</v>
      </c>
      <c r="C962" s="16" t="s">
        <v>974</v>
      </c>
      <c r="D962" s="12" t="s">
        <v>26</v>
      </c>
      <c r="E962" s="13" t="s">
        <v>15</v>
      </c>
      <c r="F962" s="14">
        <v>0.034409722222222223</v>
      </c>
      <c r="G962" s="21"/>
    </row>
    <row r="963">
      <c r="A963" s="4" t="s">
        <v>889</v>
      </c>
      <c r="B963" s="10">
        <v>2873324.0</v>
      </c>
      <c r="C963" s="16" t="s">
        <v>975</v>
      </c>
      <c r="D963" s="12" t="s">
        <v>26</v>
      </c>
      <c r="E963" s="13" t="s">
        <v>15</v>
      </c>
      <c r="F963" s="14">
        <v>0.07424768518518518</v>
      </c>
      <c r="G963" s="21"/>
    </row>
    <row r="964">
      <c r="A964" s="4" t="s">
        <v>889</v>
      </c>
      <c r="B964" s="10">
        <v>2882184.0</v>
      </c>
      <c r="C964" s="16" t="s">
        <v>976</v>
      </c>
      <c r="D964" s="12" t="s">
        <v>26</v>
      </c>
      <c r="E964" s="13" t="s">
        <v>15</v>
      </c>
      <c r="F964" s="14">
        <v>0.01747685185185185</v>
      </c>
      <c r="G964" s="21"/>
    </row>
    <row r="965">
      <c r="A965" s="4" t="s">
        <v>889</v>
      </c>
      <c r="B965" s="10">
        <v>2880137.0</v>
      </c>
      <c r="C965" s="16" t="s">
        <v>977</v>
      </c>
      <c r="D965" s="12" t="s">
        <v>26</v>
      </c>
      <c r="E965" s="13" t="s">
        <v>15</v>
      </c>
      <c r="F965" s="14">
        <v>0.0811111111111111</v>
      </c>
      <c r="G965" s="21"/>
    </row>
    <row r="966">
      <c r="A966" s="4" t="s">
        <v>889</v>
      </c>
      <c r="B966" s="10">
        <v>2885198.0</v>
      </c>
      <c r="C966" s="16" t="s">
        <v>978</v>
      </c>
      <c r="D966" s="12" t="s">
        <v>26</v>
      </c>
      <c r="E966" s="13" t="s">
        <v>15</v>
      </c>
      <c r="F966" s="14">
        <v>0.015590277777777778</v>
      </c>
      <c r="G966" s="21"/>
    </row>
    <row r="967">
      <c r="A967" s="4" t="s">
        <v>889</v>
      </c>
      <c r="B967" s="10">
        <v>2878184.0</v>
      </c>
      <c r="C967" s="16" t="s">
        <v>979</v>
      </c>
      <c r="D967" s="12" t="s">
        <v>26</v>
      </c>
      <c r="E967" s="13" t="s">
        <v>15</v>
      </c>
      <c r="F967" s="14">
        <v>0.056851851851851855</v>
      </c>
      <c r="G967" s="21"/>
    </row>
    <row r="968">
      <c r="A968" s="4" t="s">
        <v>889</v>
      </c>
      <c r="B968" s="10">
        <v>2835070.0</v>
      </c>
      <c r="C968" s="16" t="s">
        <v>980</v>
      </c>
      <c r="D968" s="12" t="s">
        <v>26</v>
      </c>
      <c r="E968" s="13" t="s">
        <v>15</v>
      </c>
      <c r="F968" s="14">
        <v>0.02914351851851852</v>
      </c>
      <c r="G968" s="21"/>
    </row>
    <row r="969">
      <c r="A969" s="4" t="s">
        <v>889</v>
      </c>
      <c r="B969" s="10">
        <v>2885259.0</v>
      </c>
      <c r="C969" s="16" t="s">
        <v>981</v>
      </c>
      <c r="D969" s="12" t="s">
        <v>26</v>
      </c>
      <c r="E969" s="13" t="s">
        <v>15</v>
      </c>
      <c r="F969" s="14">
        <v>0.0759375</v>
      </c>
      <c r="G969" s="21"/>
    </row>
    <row r="970">
      <c r="A970" s="4" t="s">
        <v>889</v>
      </c>
      <c r="B970" s="10">
        <v>3156783.0</v>
      </c>
      <c r="C970" s="16" t="s">
        <v>982</v>
      </c>
      <c r="D970" s="12" t="s">
        <v>26</v>
      </c>
      <c r="E970" s="13" t="s">
        <v>15</v>
      </c>
      <c r="F970" s="14">
        <v>0.08554398148148148</v>
      </c>
      <c r="G970" s="21"/>
    </row>
    <row r="971">
      <c r="A971" s="4" t="s">
        <v>889</v>
      </c>
      <c r="B971" s="10">
        <v>3006177.0</v>
      </c>
      <c r="C971" s="16" t="s">
        <v>983</v>
      </c>
      <c r="D971" s="12" t="s">
        <v>26</v>
      </c>
      <c r="E971" s="13" t="s">
        <v>26</v>
      </c>
      <c r="F971" s="14">
        <v>0.07613425925925926</v>
      </c>
      <c r="G971" s="21"/>
    </row>
    <row r="972">
      <c r="A972" s="4" t="s">
        <v>889</v>
      </c>
      <c r="B972" s="10">
        <v>2881214.0</v>
      </c>
      <c r="C972" s="16" t="s">
        <v>984</v>
      </c>
      <c r="D972" s="12" t="s">
        <v>26</v>
      </c>
      <c r="E972" s="13" t="s">
        <v>26</v>
      </c>
      <c r="F972" s="14">
        <v>0.018784722222222223</v>
      </c>
      <c r="G972" s="21"/>
    </row>
    <row r="973">
      <c r="A973" s="4" t="s">
        <v>889</v>
      </c>
      <c r="B973" s="10">
        <v>2888050.0</v>
      </c>
      <c r="C973" s="16" t="s">
        <v>985</v>
      </c>
      <c r="D973" s="12" t="s">
        <v>26</v>
      </c>
      <c r="E973" s="13" t="s">
        <v>26</v>
      </c>
      <c r="F973" s="14">
        <v>0.032928240740740744</v>
      </c>
      <c r="G973" s="21"/>
    </row>
    <row r="974">
      <c r="A974" s="4" t="s">
        <v>889</v>
      </c>
      <c r="B974" s="10">
        <v>2880062.0</v>
      </c>
      <c r="C974" s="16" t="s">
        <v>986</v>
      </c>
      <c r="D974" s="12" t="s">
        <v>26</v>
      </c>
      <c r="E974" s="13" t="s">
        <v>26</v>
      </c>
      <c r="F974" s="14">
        <v>0.03519675925925926</v>
      </c>
      <c r="G974" s="21"/>
    </row>
    <row r="975">
      <c r="A975" s="4" t="s">
        <v>889</v>
      </c>
      <c r="B975" s="10">
        <v>761929.0</v>
      </c>
      <c r="C975" s="16" t="s">
        <v>987</v>
      </c>
      <c r="D975" s="12" t="s">
        <v>26</v>
      </c>
      <c r="E975" s="13" t="s">
        <v>26</v>
      </c>
      <c r="F975" s="14">
        <v>0.06625</v>
      </c>
      <c r="G975" s="21"/>
    </row>
    <row r="976">
      <c r="A976" s="4" t="s">
        <v>889</v>
      </c>
      <c r="B976" s="10">
        <v>777380.0</v>
      </c>
      <c r="C976" s="16" t="s">
        <v>988</v>
      </c>
      <c r="D976" s="12" t="s">
        <v>26</v>
      </c>
      <c r="E976" s="13" t="s">
        <v>26</v>
      </c>
      <c r="F976" s="14">
        <v>0.042326388888888886</v>
      </c>
      <c r="G976" s="21"/>
    </row>
    <row r="977">
      <c r="A977" s="4" t="s">
        <v>889</v>
      </c>
      <c r="B977" s="10">
        <v>2975162.0</v>
      </c>
      <c r="C977" s="16" t="s">
        <v>989</v>
      </c>
      <c r="D977" s="12" t="s">
        <v>26</v>
      </c>
      <c r="E977" s="13" t="s">
        <v>26</v>
      </c>
      <c r="F977" s="14">
        <v>0.026516203703703705</v>
      </c>
      <c r="G977" s="21"/>
    </row>
    <row r="978">
      <c r="A978" s="4" t="s">
        <v>889</v>
      </c>
      <c r="B978" s="10">
        <v>786357.0</v>
      </c>
      <c r="C978" s="16" t="s">
        <v>990</v>
      </c>
      <c r="D978" s="12" t="s">
        <v>26</v>
      </c>
      <c r="E978" s="13" t="s">
        <v>26</v>
      </c>
      <c r="F978" s="14">
        <v>0.05376157407407407</v>
      </c>
      <c r="G978" s="21"/>
    </row>
    <row r="979">
      <c r="A979" s="4" t="s">
        <v>889</v>
      </c>
      <c r="B979" s="10">
        <v>2873100.0</v>
      </c>
      <c r="C979" s="16" t="s">
        <v>991</v>
      </c>
      <c r="D979" s="12" t="s">
        <v>26</v>
      </c>
      <c r="E979" s="13" t="s">
        <v>26</v>
      </c>
      <c r="F979" s="14">
        <v>0.023506944444444445</v>
      </c>
      <c r="G979" s="21"/>
    </row>
    <row r="980">
      <c r="A980" s="4" t="s">
        <v>889</v>
      </c>
      <c r="B980" s="10">
        <v>2869051.0</v>
      </c>
      <c r="C980" s="16" t="s">
        <v>992</v>
      </c>
      <c r="D980" s="12" t="s">
        <v>26</v>
      </c>
      <c r="E980" s="13" t="s">
        <v>26</v>
      </c>
      <c r="F980" s="14">
        <v>0.015034722222222222</v>
      </c>
      <c r="G980" s="21"/>
    </row>
    <row r="981">
      <c r="A981" s="4" t="s">
        <v>993</v>
      </c>
      <c r="B981" s="5" t="s">
        <v>8</v>
      </c>
      <c r="C981" s="6" t="s">
        <v>9</v>
      </c>
      <c r="D981" s="7" t="s">
        <v>3</v>
      </c>
      <c r="E981" s="7" t="s">
        <v>10</v>
      </c>
      <c r="F981" s="8" t="s">
        <v>11</v>
      </c>
      <c r="G981" s="9" t="s">
        <v>12</v>
      </c>
    </row>
    <row r="982">
      <c r="A982" s="4" t="s">
        <v>993</v>
      </c>
      <c r="B982" s="10">
        <v>688515.0</v>
      </c>
      <c r="C982" s="16" t="s">
        <v>994</v>
      </c>
      <c r="D982" s="12" t="s">
        <v>14</v>
      </c>
      <c r="E982" s="13" t="s">
        <v>109</v>
      </c>
      <c r="F982" s="14">
        <v>0.03480324074074074</v>
      </c>
      <c r="G982" s="18" t="s">
        <v>162</v>
      </c>
    </row>
    <row r="983">
      <c r="A983" s="4" t="s">
        <v>993</v>
      </c>
      <c r="B983" s="10">
        <v>656782.0</v>
      </c>
      <c r="C983" s="16" t="s">
        <v>995</v>
      </c>
      <c r="D983" s="12" t="s">
        <v>18</v>
      </c>
      <c r="E983" s="13" t="s">
        <v>38</v>
      </c>
      <c r="F983" s="14">
        <v>0.03878472222222222</v>
      </c>
      <c r="G983" s="15" t="s">
        <v>996</v>
      </c>
    </row>
    <row r="984">
      <c r="A984" s="4" t="s">
        <v>993</v>
      </c>
      <c r="B984" s="10">
        <v>661748.0</v>
      </c>
      <c r="C984" s="16" t="s">
        <v>172</v>
      </c>
      <c r="D984" s="12" t="s">
        <v>18</v>
      </c>
      <c r="E984" s="13" t="s">
        <v>19</v>
      </c>
      <c r="F984" s="14">
        <v>0.03037037037037037</v>
      </c>
      <c r="G984" s="15" t="s">
        <v>997</v>
      </c>
    </row>
    <row r="985">
      <c r="A985" s="4" t="s">
        <v>993</v>
      </c>
      <c r="B985" s="10">
        <v>700792.0</v>
      </c>
      <c r="C985" s="16" t="s">
        <v>234</v>
      </c>
      <c r="D985" s="12" t="s">
        <v>18</v>
      </c>
      <c r="E985" s="13" t="s">
        <v>15</v>
      </c>
      <c r="F985" s="14">
        <v>0.025138888888888888</v>
      </c>
      <c r="G985" s="17" t="s">
        <v>998</v>
      </c>
    </row>
    <row r="986">
      <c r="A986" s="4" t="s">
        <v>993</v>
      </c>
      <c r="B986" s="10">
        <v>520220.0</v>
      </c>
      <c r="C986" s="16" t="s">
        <v>120</v>
      </c>
      <c r="D986" s="12" t="s">
        <v>18</v>
      </c>
      <c r="E986" s="13" t="s">
        <v>15</v>
      </c>
      <c r="F986" s="14">
        <v>0.03736111111111111</v>
      </c>
      <c r="G986" s="17" t="s">
        <v>999</v>
      </c>
    </row>
    <row r="987">
      <c r="A987" s="4" t="s">
        <v>993</v>
      </c>
      <c r="B987" s="10">
        <v>659268.0</v>
      </c>
      <c r="C987" s="16" t="s">
        <v>1000</v>
      </c>
      <c r="D987" s="12" t="s">
        <v>18</v>
      </c>
      <c r="E987" s="13" t="s">
        <v>15</v>
      </c>
      <c r="F987" s="14">
        <v>0.021979166666666668</v>
      </c>
      <c r="G987" s="29" t="s">
        <v>1001</v>
      </c>
    </row>
    <row r="988">
      <c r="A988" s="4" t="s">
        <v>993</v>
      </c>
      <c r="B988" s="10">
        <v>756286.0</v>
      </c>
      <c r="C988" s="16" t="s">
        <v>1002</v>
      </c>
      <c r="D988" s="12" t="s">
        <v>18</v>
      </c>
      <c r="E988" s="13" t="s">
        <v>15</v>
      </c>
      <c r="F988" s="14">
        <v>0.03916666666666667</v>
      </c>
      <c r="G988" s="29" t="s">
        <v>1003</v>
      </c>
    </row>
    <row r="989">
      <c r="A989" s="4" t="s">
        <v>993</v>
      </c>
      <c r="B989" s="10">
        <v>565364.0</v>
      </c>
      <c r="C989" s="16" t="s">
        <v>173</v>
      </c>
      <c r="D989" s="12" t="s">
        <v>18</v>
      </c>
      <c r="E989" s="13" t="s">
        <v>15</v>
      </c>
      <c r="F989" s="14">
        <v>0.01412037037037037</v>
      </c>
      <c r="G989" s="17" t="s">
        <v>1004</v>
      </c>
    </row>
    <row r="990">
      <c r="A990" s="4" t="s">
        <v>993</v>
      </c>
      <c r="B990" s="10">
        <v>2893047.0</v>
      </c>
      <c r="C990" s="16" t="s">
        <v>1005</v>
      </c>
      <c r="D990" s="12" t="s">
        <v>18</v>
      </c>
      <c r="E990" s="13" t="s">
        <v>15</v>
      </c>
      <c r="F990" s="14">
        <v>0.02273148148148148</v>
      </c>
      <c r="G990" s="17" t="s">
        <v>1006</v>
      </c>
    </row>
    <row r="991">
      <c r="A991" s="4" t="s">
        <v>993</v>
      </c>
      <c r="B991" s="10">
        <v>2881199.0</v>
      </c>
      <c r="C991" s="16" t="s">
        <v>1007</v>
      </c>
      <c r="D991" s="12" t="s">
        <v>18</v>
      </c>
      <c r="E991" s="13" t="s">
        <v>15</v>
      </c>
      <c r="F991" s="14">
        <v>0.029502314814814815</v>
      </c>
      <c r="G991" s="17" t="s">
        <v>1008</v>
      </c>
    </row>
    <row r="992">
      <c r="A992" s="4" t="s">
        <v>993</v>
      </c>
      <c r="B992" s="10">
        <v>2891028.0</v>
      </c>
      <c r="C992" s="16" t="s">
        <v>1009</v>
      </c>
      <c r="D992" s="12" t="s">
        <v>18</v>
      </c>
      <c r="E992" s="13" t="s">
        <v>15</v>
      </c>
      <c r="F992" s="14">
        <v>0.02528935185185185</v>
      </c>
      <c r="G992" s="17"/>
    </row>
    <row r="993">
      <c r="A993" s="4" t="s">
        <v>993</v>
      </c>
      <c r="B993" s="10">
        <v>570964.0</v>
      </c>
      <c r="C993" s="16" t="s">
        <v>1010</v>
      </c>
      <c r="D993" s="12" t="s">
        <v>18</v>
      </c>
      <c r="E993" s="13" t="s">
        <v>109</v>
      </c>
      <c r="F993" s="14">
        <v>0.05741898148148148</v>
      </c>
      <c r="G993" s="17"/>
    </row>
    <row r="994">
      <c r="A994" s="4" t="s">
        <v>993</v>
      </c>
      <c r="B994" s="10">
        <v>659275.0</v>
      </c>
      <c r="C994" s="16" t="s">
        <v>1011</v>
      </c>
      <c r="D994" s="12" t="s">
        <v>18</v>
      </c>
      <c r="E994" s="13" t="s">
        <v>109</v>
      </c>
      <c r="F994" s="14">
        <v>0.03670138888888889</v>
      </c>
      <c r="G994" s="17"/>
    </row>
    <row r="995">
      <c r="A995" s="4" t="s">
        <v>993</v>
      </c>
      <c r="B995" s="10">
        <v>2975163.0</v>
      </c>
      <c r="C995" s="16" t="s">
        <v>295</v>
      </c>
      <c r="D995" s="12" t="s">
        <v>18</v>
      </c>
      <c r="E995" s="13" t="s">
        <v>109</v>
      </c>
      <c r="F995" s="14">
        <v>0.020300925925925927</v>
      </c>
      <c r="G995" s="29"/>
    </row>
    <row r="996">
      <c r="A996" s="4" t="s">
        <v>993</v>
      </c>
      <c r="B996" s="10">
        <v>2887263.0</v>
      </c>
      <c r="C996" s="16" t="s">
        <v>1012</v>
      </c>
      <c r="D996" s="12" t="s">
        <v>18</v>
      </c>
      <c r="E996" s="13" t="s">
        <v>109</v>
      </c>
      <c r="F996" s="14">
        <v>0.017569444444444443</v>
      </c>
      <c r="G996" s="29"/>
    </row>
    <row r="997">
      <c r="A997" s="4" t="s">
        <v>993</v>
      </c>
      <c r="B997" s="10">
        <v>2819029.0</v>
      </c>
      <c r="C997" s="16" t="s">
        <v>1013</v>
      </c>
      <c r="D997" s="12" t="s">
        <v>34</v>
      </c>
      <c r="E997" s="13" t="s">
        <v>38</v>
      </c>
      <c r="F997" s="14">
        <v>0.022256944444444444</v>
      </c>
      <c r="G997" s="17"/>
    </row>
    <row r="998">
      <c r="A998" s="4" t="s">
        <v>993</v>
      </c>
      <c r="B998" s="10">
        <v>184803.0</v>
      </c>
      <c r="C998" s="16" t="s">
        <v>896</v>
      </c>
      <c r="D998" s="12" t="s">
        <v>34</v>
      </c>
      <c r="E998" s="13" t="s">
        <v>38</v>
      </c>
      <c r="F998" s="14">
        <v>0.10337962962962963</v>
      </c>
      <c r="G998" s="17"/>
    </row>
    <row r="999">
      <c r="A999" s="4" t="s">
        <v>993</v>
      </c>
      <c r="B999" s="10">
        <v>5034159.0</v>
      </c>
      <c r="C999" s="16" t="s">
        <v>1014</v>
      </c>
      <c r="D999" s="12" t="s">
        <v>34</v>
      </c>
      <c r="E999" s="13" t="s">
        <v>19</v>
      </c>
      <c r="F999" s="14">
        <v>0.027685185185185184</v>
      </c>
      <c r="G999" s="17"/>
    </row>
    <row r="1000">
      <c r="A1000" s="4" t="s">
        <v>993</v>
      </c>
      <c r="B1000" s="10">
        <v>664803.0</v>
      </c>
      <c r="C1000" s="16" t="s">
        <v>1015</v>
      </c>
      <c r="D1000" s="12" t="s">
        <v>34</v>
      </c>
      <c r="E1000" s="13" t="s">
        <v>19</v>
      </c>
      <c r="F1000" s="14">
        <v>0.03516203703703704</v>
      </c>
      <c r="G1000" s="30"/>
    </row>
    <row r="1001">
      <c r="A1001" s="4" t="s">
        <v>993</v>
      </c>
      <c r="B1001" s="10">
        <v>2841297.0</v>
      </c>
      <c r="C1001" s="16" t="s">
        <v>1016</v>
      </c>
      <c r="D1001" s="12" t="s">
        <v>34</v>
      </c>
      <c r="E1001" s="13" t="s">
        <v>15</v>
      </c>
      <c r="F1001" s="14">
        <v>0.03214120370370371</v>
      </c>
      <c r="G1001" s="30"/>
    </row>
    <row r="1002">
      <c r="A1002" s="4" t="s">
        <v>993</v>
      </c>
      <c r="B1002" s="10">
        <v>601769.0</v>
      </c>
      <c r="C1002" s="16" t="s">
        <v>405</v>
      </c>
      <c r="D1002" s="12" t="s">
        <v>34</v>
      </c>
      <c r="E1002" s="13" t="s">
        <v>15</v>
      </c>
      <c r="F1002" s="14">
        <v>0.05277777777777778</v>
      </c>
      <c r="G1002" s="21"/>
    </row>
    <row r="1003">
      <c r="A1003" s="4" t="s">
        <v>993</v>
      </c>
      <c r="B1003" s="10">
        <v>466170.0</v>
      </c>
      <c r="C1003" s="11" t="s">
        <v>1017</v>
      </c>
      <c r="D1003" s="12" t="s">
        <v>34</v>
      </c>
      <c r="E1003" s="13" t="s">
        <v>15</v>
      </c>
      <c r="F1003" s="14">
        <v>0.03391203703703704</v>
      </c>
      <c r="G1003" s="21"/>
    </row>
    <row r="1004">
      <c r="A1004" s="4" t="s">
        <v>993</v>
      </c>
      <c r="B1004" s="10">
        <v>2878236.0</v>
      </c>
      <c r="C1004" s="16" t="s">
        <v>1018</v>
      </c>
      <c r="D1004" s="12" t="s">
        <v>34</v>
      </c>
      <c r="E1004" s="13" t="s">
        <v>15</v>
      </c>
      <c r="F1004" s="14">
        <v>0.04393518518518519</v>
      </c>
      <c r="G1004" s="21"/>
    </row>
    <row r="1005">
      <c r="A1005" s="4" t="s">
        <v>993</v>
      </c>
      <c r="B1005" s="10">
        <v>2894043.0</v>
      </c>
      <c r="C1005" s="16" t="s">
        <v>1019</v>
      </c>
      <c r="D1005" s="12" t="s">
        <v>34</v>
      </c>
      <c r="E1005" s="13" t="s">
        <v>15</v>
      </c>
      <c r="F1005" s="14">
        <v>0.023206018518518518</v>
      </c>
      <c r="G1005" s="21"/>
    </row>
    <row r="1006">
      <c r="A1006" s="4" t="s">
        <v>993</v>
      </c>
      <c r="B1006" s="10">
        <v>3013243.0</v>
      </c>
      <c r="C1006" s="16" t="s">
        <v>1020</v>
      </c>
      <c r="D1006" s="12" t="s">
        <v>34</v>
      </c>
      <c r="E1006" s="13" t="s">
        <v>15</v>
      </c>
      <c r="F1006" s="14">
        <v>0.024814814814814814</v>
      </c>
      <c r="G1006" s="21"/>
    </row>
    <row r="1007">
      <c r="A1007" s="4" t="s">
        <v>993</v>
      </c>
      <c r="B1007" s="10">
        <v>2424655.0</v>
      </c>
      <c r="C1007" s="16" t="s">
        <v>1021</v>
      </c>
      <c r="D1007" s="12" t="s">
        <v>34</v>
      </c>
      <c r="E1007" s="13" t="s">
        <v>15</v>
      </c>
      <c r="F1007" s="14">
        <v>0.05319444444444445</v>
      </c>
      <c r="G1007" s="21"/>
    </row>
    <row r="1008">
      <c r="A1008" s="4" t="s">
        <v>993</v>
      </c>
      <c r="B1008" s="10">
        <v>2895002.0</v>
      </c>
      <c r="C1008" s="16" t="s">
        <v>1022</v>
      </c>
      <c r="D1008" s="12" t="s">
        <v>34</v>
      </c>
      <c r="E1008" s="13" t="s">
        <v>109</v>
      </c>
      <c r="F1008" s="14">
        <v>0.015289351851851853</v>
      </c>
      <c r="G1008" s="21"/>
    </row>
    <row r="1009">
      <c r="A1009" s="4" t="s">
        <v>993</v>
      </c>
      <c r="B1009" s="10">
        <v>2817013.0</v>
      </c>
      <c r="C1009" s="16" t="s">
        <v>1023</v>
      </c>
      <c r="D1009" s="12" t="s">
        <v>34</v>
      </c>
      <c r="E1009" s="13" t="s">
        <v>26</v>
      </c>
      <c r="F1009" s="14">
        <v>0.03574074074074074</v>
      </c>
      <c r="G1009" s="21"/>
    </row>
    <row r="1010">
      <c r="A1010" s="4" t="s">
        <v>993</v>
      </c>
      <c r="B1010" s="10">
        <v>2832011.0</v>
      </c>
      <c r="C1010" s="16" t="s">
        <v>1024</v>
      </c>
      <c r="D1010" s="12" t="s">
        <v>34</v>
      </c>
      <c r="E1010" s="13" t="s">
        <v>26</v>
      </c>
      <c r="F1010" s="14">
        <v>0.019479166666666665</v>
      </c>
      <c r="G1010" s="21"/>
    </row>
    <row r="1011">
      <c r="A1011" s="4" t="s">
        <v>993</v>
      </c>
      <c r="B1011" s="10">
        <v>2880281.0</v>
      </c>
      <c r="C1011" s="16" t="s">
        <v>1025</v>
      </c>
      <c r="D1011" s="12" t="s">
        <v>31</v>
      </c>
      <c r="E1011" s="13" t="s">
        <v>38</v>
      </c>
      <c r="F1011" s="14">
        <v>0.022615740740740742</v>
      </c>
      <c r="G1011" s="21"/>
    </row>
    <row r="1012">
      <c r="A1012" s="4" t="s">
        <v>993</v>
      </c>
      <c r="B1012" s="10">
        <v>2886307.0</v>
      </c>
      <c r="C1012" s="16" t="s">
        <v>1026</v>
      </c>
      <c r="D1012" s="12" t="s">
        <v>31</v>
      </c>
      <c r="E1012" s="13" t="s">
        <v>38</v>
      </c>
      <c r="F1012" s="14">
        <v>0.020648148148148148</v>
      </c>
      <c r="G1012" s="21"/>
    </row>
    <row r="1013">
      <c r="A1013" s="4" t="s">
        <v>993</v>
      </c>
      <c r="B1013" s="10">
        <v>802827.0</v>
      </c>
      <c r="C1013" s="16" t="s">
        <v>1027</v>
      </c>
      <c r="D1013" s="12" t="s">
        <v>26</v>
      </c>
      <c r="E1013" s="13" t="s">
        <v>38</v>
      </c>
      <c r="F1013" s="14">
        <v>0.029548611111111112</v>
      </c>
      <c r="G1013" s="21"/>
    </row>
    <row r="1014">
      <c r="A1014" s="4" t="s">
        <v>993</v>
      </c>
      <c r="B1014" s="10">
        <v>191268.0</v>
      </c>
      <c r="C1014" s="16" t="s">
        <v>1028</v>
      </c>
      <c r="D1014" s="12" t="s">
        <v>26</v>
      </c>
      <c r="E1014" s="13" t="s">
        <v>38</v>
      </c>
      <c r="F1014" s="14">
        <v>0.03273148148148148</v>
      </c>
      <c r="G1014" s="21"/>
    </row>
    <row r="1015">
      <c r="A1015" s="4" t="s">
        <v>993</v>
      </c>
      <c r="B1015" s="10">
        <v>721920.0</v>
      </c>
      <c r="C1015" s="16" t="s">
        <v>1029</v>
      </c>
      <c r="D1015" s="12" t="s">
        <v>26</v>
      </c>
      <c r="E1015" s="13" t="s">
        <v>38</v>
      </c>
      <c r="F1015" s="14">
        <v>0.03476851851851852</v>
      </c>
      <c r="G1015" s="21"/>
    </row>
    <row r="1016">
      <c r="A1016" s="4" t="s">
        <v>993</v>
      </c>
      <c r="B1016" s="10">
        <v>794118.0</v>
      </c>
      <c r="C1016" s="16" t="s">
        <v>1030</v>
      </c>
      <c r="D1016" s="12" t="s">
        <v>26</v>
      </c>
      <c r="E1016" s="13" t="s">
        <v>38</v>
      </c>
      <c r="F1016" s="14">
        <v>0.03491898148148148</v>
      </c>
      <c r="G1016" s="21"/>
    </row>
    <row r="1017">
      <c r="A1017" s="4" t="s">
        <v>993</v>
      </c>
      <c r="B1017" s="10">
        <v>2805907.0</v>
      </c>
      <c r="C1017" s="16" t="s">
        <v>330</v>
      </c>
      <c r="D1017" s="12" t="s">
        <v>26</v>
      </c>
      <c r="E1017" s="13" t="s">
        <v>38</v>
      </c>
      <c r="F1017" s="14">
        <v>0.00949074074074074</v>
      </c>
      <c r="G1017" s="21"/>
    </row>
    <row r="1018">
      <c r="A1018" s="4" t="s">
        <v>993</v>
      </c>
      <c r="B1018" s="10">
        <v>2813256.0</v>
      </c>
      <c r="C1018" s="16" t="s">
        <v>1031</v>
      </c>
      <c r="D1018" s="12" t="s">
        <v>26</v>
      </c>
      <c r="E1018" s="13" t="s">
        <v>38</v>
      </c>
      <c r="F1018" s="14">
        <v>0.026412037037037036</v>
      </c>
      <c r="G1018" s="21"/>
    </row>
    <row r="1019">
      <c r="A1019" s="4" t="s">
        <v>993</v>
      </c>
      <c r="B1019" s="10">
        <v>2823248.0</v>
      </c>
      <c r="C1019" s="16" t="s">
        <v>1032</v>
      </c>
      <c r="D1019" s="12" t="s">
        <v>26</v>
      </c>
      <c r="E1019" s="13" t="s">
        <v>38</v>
      </c>
      <c r="F1019" s="14">
        <v>0.035659722222222225</v>
      </c>
      <c r="G1019" s="21"/>
    </row>
    <row r="1020">
      <c r="A1020" s="4" t="s">
        <v>993</v>
      </c>
      <c r="B1020" s="10">
        <v>2823138.0</v>
      </c>
      <c r="C1020" s="16" t="s">
        <v>1033</v>
      </c>
      <c r="D1020" s="12" t="s">
        <v>26</v>
      </c>
      <c r="E1020" s="13" t="s">
        <v>38</v>
      </c>
      <c r="F1020" s="14">
        <v>0.050763888888888886</v>
      </c>
      <c r="G1020" s="21"/>
    </row>
    <row r="1021">
      <c r="A1021" s="4" t="s">
        <v>993</v>
      </c>
      <c r="B1021" s="10">
        <v>2825494.0</v>
      </c>
      <c r="C1021" s="16" t="s">
        <v>209</v>
      </c>
      <c r="D1021" s="12" t="s">
        <v>26</v>
      </c>
      <c r="E1021" s="13" t="s">
        <v>38</v>
      </c>
      <c r="F1021" s="14">
        <v>0.02619212962962963</v>
      </c>
      <c r="G1021" s="21"/>
    </row>
    <row r="1022">
      <c r="A1022" s="4" t="s">
        <v>993</v>
      </c>
      <c r="B1022" s="10">
        <v>2841554.0</v>
      </c>
      <c r="C1022" s="16" t="s">
        <v>1034</v>
      </c>
      <c r="D1022" s="12" t="s">
        <v>26</v>
      </c>
      <c r="E1022" s="13" t="s">
        <v>38</v>
      </c>
      <c r="F1022" s="14">
        <v>0.02634259259259259</v>
      </c>
      <c r="G1022" s="21"/>
    </row>
    <row r="1023">
      <c r="A1023" s="4" t="s">
        <v>993</v>
      </c>
      <c r="B1023" s="10">
        <v>2833040.0</v>
      </c>
      <c r="C1023" s="16" t="s">
        <v>1035</v>
      </c>
      <c r="D1023" s="12" t="s">
        <v>26</v>
      </c>
      <c r="E1023" s="13" t="s">
        <v>38</v>
      </c>
      <c r="F1023" s="14">
        <v>0.04756944444444444</v>
      </c>
      <c r="G1023" s="21"/>
    </row>
    <row r="1024">
      <c r="A1024" s="4" t="s">
        <v>993</v>
      </c>
      <c r="B1024" s="10">
        <v>5022328.0</v>
      </c>
      <c r="C1024" s="16" t="s">
        <v>1036</v>
      </c>
      <c r="D1024" s="12" t="s">
        <v>26</v>
      </c>
      <c r="E1024" s="13" t="s">
        <v>38</v>
      </c>
      <c r="F1024" s="14">
        <v>0.04833333333333333</v>
      </c>
      <c r="G1024" s="21"/>
    </row>
    <row r="1025">
      <c r="A1025" s="4" t="s">
        <v>993</v>
      </c>
      <c r="B1025" s="10">
        <v>2882044.0</v>
      </c>
      <c r="C1025" s="16" t="s">
        <v>1037</v>
      </c>
      <c r="D1025" s="12" t="s">
        <v>26</v>
      </c>
      <c r="E1025" s="13" t="s">
        <v>38</v>
      </c>
      <c r="F1025" s="14">
        <v>0.03582175925925926</v>
      </c>
      <c r="G1025" s="21"/>
    </row>
    <row r="1026">
      <c r="A1026" s="4" t="s">
        <v>993</v>
      </c>
      <c r="B1026" s="10">
        <v>2893008.0</v>
      </c>
      <c r="C1026" s="16" t="s">
        <v>1038</v>
      </c>
      <c r="D1026" s="12" t="s">
        <v>26</v>
      </c>
      <c r="E1026" s="13" t="s">
        <v>38</v>
      </c>
      <c r="F1026" s="14">
        <v>0.04299768518518519</v>
      </c>
      <c r="G1026" s="21"/>
    </row>
    <row r="1027">
      <c r="A1027" s="4" t="s">
        <v>993</v>
      </c>
      <c r="B1027" s="10">
        <v>2881152.0</v>
      </c>
      <c r="C1027" s="16" t="s">
        <v>1039</v>
      </c>
      <c r="D1027" s="12" t="s">
        <v>26</v>
      </c>
      <c r="E1027" s="13" t="s">
        <v>38</v>
      </c>
      <c r="F1027" s="14">
        <v>0.049247685185185186</v>
      </c>
      <c r="G1027" s="21"/>
    </row>
    <row r="1028">
      <c r="A1028" s="4" t="s">
        <v>993</v>
      </c>
      <c r="B1028" s="10">
        <v>3007572.0</v>
      </c>
      <c r="C1028" s="16" t="s">
        <v>1040</v>
      </c>
      <c r="D1028" s="12" t="s">
        <v>26</v>
      </c>
      <c r="E1028" s="13" t="s">
        <v>38</v>
      </c>
      <c r="F1028" s="14">
        <v>0.014270833333333333</v>
      </c>
      <c r="G1028" s="21"/>
    </row>
    <row r="1029">
      <c r="A1029" s="4" t="s">
        <v>993</v>
      </c>
      <c r="B1029" s="10">
        <v>2428537.0</v>
      </c>
      <c r="C1029" s="16" t="s">
        <v>865</v>
      </c>
      <c r="D1029" s="12" t="s">
        <v>26</v>
      </c>
      <c r="E1029" s="13" t="s">
        <v>38</v>
      </c>
      <c r="F1029" s="14">
        <v>0.05219907407407407</v>
      </c>
      <c r="G1029" s="21"/>
    </row>
    <row r="1030">
      <c r="A1030" s="4" t="s">
        <v>993</v>
      </c>
      <c r="B1030" s="10">
        <v>3013248.0</v>
      </c>
      <c r="C1030" s="16" t="s">
        <v>1041</v>
      </c>
      <c r="D1030" s="12" t="s">
        <v>26</v>
      </c>
      <c r="E1030" s="13" t="s">
        <v>38</v>
      </c>
      <c r="F1030" s="14">
        <v>0.026261574074074073</v>
      </c>
      <c r="G1030" s="21"/>
    </row>
    <row r="1031">
      <c r="A1031" s="4" t="s">
        <v>993</v>
      </c>
      <c r="B1031" s="10">
        <v>2448151.0</v>
      </c>
      <c r="C1031" s="16" t="s">
        <v>1042</v>
      </c>
      <c r="D1031" s="12" t="s">
        <v>26</v>
      </c>
      <c r="E1031" s="13" t="s">
        <v>38</v>
      </c>
      <c r="F1031" s="14">
        <v>0.056469907407407406</v>
      </c>
      <c r="G1031" s="21"/>
    </row>
    <row r="1032">
      <c r="A1032" s="4" t="s">
        <v>993</v>
      </c>
      <c r="B1032" s="10">
        <v>5034182.0</v>
      </c>
      <c r="C1032" s="16" t="s">
        <v>1043</v>
      </c>
      <c r="D1032" s="12" t="s">
        <v>26</v>
      </c>
      <c r="E1032" s="13" t="s">
        <v>19</v>
      </c>
      <c r="F1032" s="14">
        <v>0.04690972222222222</v>
      </c>
      <c r="G1032" s="21"/>
    </row>
    <row r="1033">
      <c r="A1033" s="4" t="s">
        <v>993</v>
      </c>
      <c r="B1033" s="10">
        <v>2823250.0</v>
      </c>
      <c r="C1033" s="16" t="s">
        <v>1044</v>
      </c>
      <c r="D1033" s="12" t="s">
        <v>26</v>
      </c>
      <c r="E1033" s="13" t="s">
        <v>19</v>
      </c>
      <c r="F1033" s="14">
        <v>0.03664351851851852</v>
      </c>
      <c r="G1033" s="21"/>
    </row>
    <row r="1034">
      <c r="A1034" s="4" t="s">
        <v>993</v>
      </c>
      <c r="B1034" s="10">
        <v>724786.0</v>
      </c>
      <c r="C1034" s="19" t="s">
        <v>1045</v>
      </c>
      <c r="D1034" s="12" t="s">
        <v>26</v>
      </c>
      <c r="E1034" s="13" t="s">
        <v>19</v>
      </c>
      <c r="F1034" s="14">
        <v>0.025659722222222223</v>
      </c>
      <c r="G1034" s="21"/>
    </row>
    <row r="1035">
      <c r="A1035" s="4" t="s">
        <v>993</v>
      </c>
      <c r="B1035" s="10">
        <v>704123.0</v>
      </c>
      <c r="C1035" s="16" t="s">
        <v>1046</v>
      </c>
      <c r="D1035" s="12" t="s">
        <v>26</v>
      </c>
      <c r="E1035" s="13" t="s">
        <v>19</v>
      </c>
      <c r="F1035" s="14">
        <v>0.017418981481481483</v>
      </c>
      <c r="G1035" s="21"/>
    </row>
    <row r="1036">
      <c r="A1036" s="4" t="s">
        <v>993</v>
      </c>
      <c r="B1036" s="10">
        <v>628688.0</v>
      </c>
      <c r="C1036" s="16" t="s">
        <v>1047</v>
      </c>
      <c r="D1036" s="12" t="s">
        <v>26</v>
      </c>
      <c r="E1036" s="13" t="s">
        <v>15</v>
      </c>
      <c r="F1036" s="14">
        <v>0.040462962962962964</v>
      </c>
      <c r="G1036" s="21"/>
    </row>
    <row r="1037">
      <c r="A1037" s="4" t="s">
        <v>993</v>
      </c>
      <c r="B1037" s="10">
        <v>769279.0</v>
      </c>
      <c r="C1037" s="16" t="s">
        <v>1048</v>
      </c>
      <c r="D1037" s="12" t="s">
        <v>26</v>
      </c>
      <c r="E1037" s="13" t="s">
        <v>15</v>
      </c>
      <c r="F1037" s="14">
        <v>0.03405092592592593</v>
      </c>
      <c r="G1037" s="21"/>
    </row>
    <row r="1038">
      <c r="A1038" s="4" t="s">
        <v>993</v>
      </c>
      <c r="B1038" s="10">
        <v>669537.0</v>
      </c>
      <c r="C1038" s="16" t="s">
        <v>1049</v>
      </c>
      <c r="D1038" s="12" t="s">
        <v>26</v>
      </c>
      <c r="E1038" s="13" t="s">
        <v>15</v>
      </c>
      <c r="F1038" s="14">
        <v>0.024502314814814814</v>
      </c>
      <c r="G1038" s="21"/>
    </row>
    <row r="1039">
      <c r="A1039" s="4" t="s">
        <v>993</v>
      </c>
      <c r="B1039" s="10">
        <v>616662.0</v>
      </c>
      <c r="C1039" s="16" t="s">
        <v>1050</v>
      </c>
      <c r="D1039" s="12" t="s">
        <v>26</v>
      </c>
      <c r="E1039" s="13" t="s">
        <v>15</v>
      </c>
      <c r="F1039" s="14">
        <v>0.03532407407407408</v>
      </c>
      <c r="G1039" s="21"/>
    </row>
    <row r="1040">
      <c r="A1040" s="4" t="s">
        <v>993</v>
      </c>
      <c r="B1040" s="10">
        <v>429635.0</v>
      </c>
      <c r="C1040" s="16" t="s">
        <v>1051</v>
      </c>
      <c r="D1040" s="12" t="s">
        <v>26</v>
      </c>
      <c r="E1040" s="13" t="s">
        <v>15</v>
      </c>
      <c r="F1040" s="14">
        <v>0.029641203703703704</v>
      </c>
      <c r="G1040" s="21"/>
    </row>
    <row r="1041">
      <c r="A1041" s="4" t="s">
        <v>993</v>
      </c>
      <c r="B1041" s="10">
        <v>434461.0</v>
      </c>
      <c r="C1041" s="16" t="s">
        <v>1052</v>
      </c>
      <c r="D1041" s="12" t="s">
        <v>26</v>
      </c>
      <c r="E1041" s="13" t="s">
        <v>15</v>
      </c>
      <c r="F1041" s="14">
        <v>0.03778935185185185</v>
      </c>
      <c r="G1041" s="21"/>
    </row>
    <row r="1042">
      <c r="A1042" s="4" t="s">
        <v>993</v>
      </c>
      <c r="B1042" s="10">
        <v>2228265.0</v>
      </c>
      <c r="C1042" s="16" t="s">
        <v>1053</v>
      </c>
      <c r="D1042" s="12" t="s">
        <v>26</v>
      </c>
      <c r="E1042" s="13" t="s">
        <v>15</v>
      </c>
      <c r="F1042" s="14">
        <v>0.05399305555555556</v>
      </c>
      <c r="G1042" s="21"/>
    </row>
    <row r="1043">
      <c r="A1043" s="4" t="s">
        <v>993</v>
      </c>
      <c r="B1043" s="10">
        <v>2811351.0</v>
      </c>
      <c r="C1043" s="16" t="s">
        <v>875</v>
      </c>
      <c r="D1043" s="12" t="s">
        <v>26</v>
      </c>
      <c r="E1043" s="13" t="s">
        <v>15</v>
      </c>
      <c r="F1043" s="14">
        <v>0.02847222222222222</v>
      </c>
      <c r="G1043" s="21"/>
    </row>
    <row r="1044">
      <c r="A1044" s="4" t="s">
        <v>993</v>
      </c>
      <c r="B1044" s="10">
        <v>2818079.0</v>
      </c>
      <c r="C1044" s="16" t="s">
        <v>1054</v>
      </c>
      <c r="D1044" s="12" t="s">
        <v>26</v>
      </c>
      <c r="E1044" s="13" t="s">
        <v>15</v>
      </c>
      <c r="F1044" s="14">
        <v>0.04577546296296296</v>
      </c>
      <c r="G1044" s="21"/>
    </row>
    <row r="1045">
      <c r="A1045" s="4" t="s">
        <v>993</v>
      </c>
      <c r="B1045" s="10">
        <v>2820166.0</v>
      </c>
      <c r="C1045" s="16" t="s">
        <v>1055</v>
      </c>
      <c r="D1045" s="12" t="s">
        <v>26</v>
      </c>
      <c r="E1045" s="13" t="s">
        <v>15</v>
      </c>
      <c r="F1045" s="14">
        <v>0.050069444444444444</v>
      </c>
      <c r="G1045" s="21"/>
    </row>
    <row r="1046">
      <c r="A1046" s="4" t="s">
        <v>993</v>
      </c>
      <c r="B1046" s="10">
        <v>2822371.0</v>
      </c>
      <c r="C1046" s="16" t="s">
        <v>1056</v>
      </c>
      <c r="D1046" s="12" t="s">
        <v>26</v>
      </c>
      <c r="E1046" s="13" t="s">
        <v>15</v>
      </c>
      <c r="F1046" s="14">
        <v>0.02140046296296296</v>
      </c>
      <c r="G1046" s="21"/>
    </row>
    <row r="1047">
      <c r="A1047" s="4" t="s">
        <v>993</v>
      </c>
      <c r="B1047" s="10">
        <v>2823546.0</v>
      </c>
      <c r="C1047" s="16" t="s">
        <v>1057</v>
      </c>
      <c r="D1047" s="12" t="s">
        <v>26</v>
      </c>
      <c r="E1047" s="13" t="s">
        <v>15</v>
      </c>
      <c r="F1047" s="14">
        <v>0.026018518518518517</v>
      </c>
      <c r="G1047" s="21"/>
    </row>
    <row r="1048">
      <c r="A1048" s="4" t="s">
        <v>993</v>
      </c>
      <c r="B1048" s="10">
        <v>2823547.0</v>
      </c>
      <c r="C1048" s="16" t="s">
        <v>425</v>
      </c>
      <c r="D1048" s="12" t="s">
        <v>26</v>
      </c>
      <c r="E1048" s="13" t="s">
        <v>15</v>
      </c>
      <c r="F1048" s="14">
        <v>0.018912037037037036</v>
      </c>
      <c r="G1048" s="21"/>
    </row>
    <row r="1049">
      <c r="A1049" s="4" t="s">
        <v>993</v>
      </c>
      <c r="B1049" s="10">
        <v>2976142.0</v>
      </c>
      <c r="C1049" s="16" t="s">
        <v>879</v>
      </c>
      <c r="D1049" s="12" t="s">
        <v>26</v>
      </c>
      <c r="E1049" s="13" t="s">
        <v>15</v>
      </c>
      <c r="F1049" s="14">
        <v>0.044409722222222225</v>
      </c>
      <c r="G1049" s="21"/>
    </row>
    <row r="1050">
      <c r="A1050" s="4" t="s">
        <v>993</v>
      </c>
      <c r="B1050" s="10">
        <v>2822642.0</v>
      </c>
      <c r="C1050" s="16" t="s">
        <v>1058</v>
      </c>
      <c r="D1050" s="12" t="s">
        <v>26</v>
      </c>
      <c r="E1050" s="13" t="s">
        <v>15</v>
      </c>
      <c r="F1050" s="14">
        <v>0.024386574074074074</v>
      </c>
      <c r="G1050" s="21"/>
    </row>
    <row r="1051">
      <c r="A1051" s="4" t="s">
        <v>993</v>
      </c>
      <c r="B1051" s="10">
        <v>2832050.0</v>
      </c>
      <c r="C1051" s="16" t="s">
        <v>1059</v>
      </c>
      <c r="D1051" s="12" t="s">
        <v>26</v>
      </c>
      <c r="E1051" s="13" t="s">
        <v>15</v>
      </c>
      <c r="F1051" s="14">
        <v>0.04538194444444445</v>
      </c>
      <c r="G1051" s="21"/>
    </row>
    <row r="1052">
      <c r="A1052" s="4" t="s">
        <v>993</v>
      </c>
      <c r="B1052" s="10">
        <v>651190.0</v>
      </c>
      <c r="C1052" s="16" t="s">
        <v>1060</v>
      </c>
      <c r="D1052" s="12" t="s">
        <v>26</v>
      </c>
      <c r="E1052" s="13" t="s">
        <v>109</v>
      </c>
      <c r="F1052" s="14">
        <v>0.061342592592592594</v>
      </c>
      <c r="G1052" s="31"/>
    </row>
    <row r="1053">
      <c r="A1053" s="4" t="s">
        <v>993</v>
      </c>
      <c r="B1053" s="10">
        <v>639058.0</v>
      </c>
      <c r="C1053" s="16" t="s">
        <v>1061</v>
      </c>
      <c r="D1053" s="12" t="s">
        <v>26</v>
      </c>
      <c r="E1053" s="13" t="s">
        <v>109</v>
      </c>
      <c r="F1053" s="14">
        <v>0.025497685185185186</v>
      </c>
      <c r="G1053" s="31"/>
    </row>
    <row r="1054">
      <c r="A1054" s="4" t="s">
        <v>993</v>
      </c>
      <c r="B1054" s="10">
        <v>669536.0</v>
      </c>
      <c r="C1054" s="16" t="s">
        <v>1062</v>
      </c>
      <c r="D1054" s="12" t="s">
        <v>26</v>
      </c>
      <c r="E1054" s="13" t="s">
        <v>109</v>
      </c>
      <c r="F1054" s="14">
        <v>0.03962962962962963</v>
      </c>
      <c r="G1054" s="31"/>
    </row>
    <row r="1055">
      <c r="A1055" s="4" t="s">
        <v>993</v>
      </c>
      <c r="B1055" s="10">
        <v>5022330.0</v>
      </c>
      <c r="C1055" s="16" t="s">
        <v>755</v>
      </c>
      <c r="D1055" s="12" t="s">
        <v>26</v>
      </c>
      <c r="E1055" s="13" t="s">
        <v>109</v>
      </c>
      <c r="F1055" s="14">
        <v>0.024780092592592593</v>
      </c>
      <c r="G1055" s="31"/>
    </row>
    <row r="1056">
      <c r="A1056" s="4" t="s">
        <v>993</v>
      </c>
      <c r="B1056" s="10">
        <v>2812133.0</v>
      </c>
      <c r="C1056" s="16" t="s">
        <v>884</v>
      </c>
      <c r="D1056" s="12" t="s">
        <v>26</v>
      </c>
      <c r="E1056" s="13" t="s">
        <v>109</v>
      </c>
      <c r="F1056" s="14">
        <v>0.047546296296296295</v>
      </c>
      <c r="G1056" s="21"/>
    </row>
    <row r="1057">
      <c r="A1057" s="4" t="s">
        <v>993</v>
      </c>
      <c r="B1057" s="10">
        <v>2820164.0</v>
      </c>
      <c r="C1057" s="16" t="s">
        <v>1063</v>
      </c>
      <c r="D1057" s="12" t="s">
        <v>26</v>
      </c>
      <c r="E1057" s="13" t="s">
        <v>109</v>
      </c>
      <c r="F1057" s="14">
        <v>0.022164351851851852</v>
      </c>
      <c r="G1057" s="21"/>
    </row>
    <row r="1058">
      <c r="A1058" s="4" t="s">
        <v>993</v>
      </c>
      <c r="B1058" s="10">
        <v>2851002.0</v>
      </c>
      <c r="C1058" s="16" t="s">
        <v>651</v>
      </c>
      <c r="D1058" s="12" t="s">
        <v>26</v>
      </c>
      <c r="E1058" s="13" t="s">
        <v>109</v>
      </c>
      <c r="F1058" s="14">
        <v>0.01866898148148148</v>
      </c>
      <c r="G1058" s="21"/>
    </row>
    <row r="1059">
      <c r="A1059" s="4" t="s">
        <v>993</v>
      </c>
      <c r="B1059" s="10">
        <v>5028612.0</v>
      </c>
      <c r="C1059" s="16" t="s">
        <v>1064</v>
      </c>
      <c r="D1059" s="12" t="s">
        <v>26</v>
      </c>
      <c r="E1059" s="13" t="s">
        <v>26</v>
      </c>
      <c r="F1059" s="14">
        <v>0.02847222222222222</v>
      </c>
      <c r="G1059" s="21"/>
    </row>
    <row r="1060">
      <c r="A1060" s="4" t="s">
        <v>993</v>
      </c>
      <c r="B1060" s="10">
        <v>716048.0</v>
      </c>
      <c r="C1060" s="16" t="s">
        <v>1065</v>
      </c>
      <c r="D1060" s="12" t="s">
        <v>26</v>
      </c>
      <c r="E1060" s="13" t="s">
        <v>26</v>
      </c>
      <c r="F1060" s="14">
        <v>0.039247685185185184</v>
      </c>
      <c r="G1060" s="21"/>
    </row>
    <row r="1061">
      <c r="A1061" s="4" t="s">
        <v>993</v>
      </c>
      <c r="B1061" s="10">
        <v>2860033.0</v>
      </c>
      <c r="C1061" s="16" t="s">
        <v>1066</v>
      </c>
      <c r="D1061" s="12" t="s">
        <v>26</v>
      </c>
      <c r="E1061" s="13" t="s">
        <v>26</v>
      </c>
      <c r="F1061" s="14">
        <v>0.04050925925925926</v>
      </c>
      <c r="G1061" s="21"/>
    </row>
    <row r="1062">
      <c r="A1062" s="4" t="s">
        <v>993</v>
      </c>
      <c r="B1062" s="10">
        <v>2824355.0</v>
      </c>
      <c r="C1062" s="16" t="s">
        <v>1067</v>
      </c>
      <c r="D1062" s="12" t="s">
        <v>26</v>
      </c>
      <c r="E1062" s="13" t="s">
        <v>26</v>
      </c>
      <c r="F1062" s="14">
        <v>0.03577546296296296</v>
      </c>
      <c r="G1062" s="21"/>
    </row>
    <row r="1063">
      <c r="A1063" s="4" t="s">
        <v>1068</v>
      </c>
      <c r="B1063" s="5" t="s">
        <v>8</v>
      </c>
      <c r="C1063" s="6" t="s">
        <v>9</v>
      </c>
      <c r="D1063" s="7" t="s">
        <v>3</v>
      </c>
      <c r="E1063" s="7" t="s">
        <v>10</v>
      </c>
      <c r="F1063" s="8" t="s">
        <v>11</v>
      </c>
      <c r="G1063" s="9" t="s">
        <v>12</v>
      </c>
    </row>
    <row r="1064">
      <c r="A1064" s="4" t="s">
        <v>1068</v>
      </c>
      <c r="B1064" s="10">
        <v>786415.0</v>
      </c>
      <c r="C1064" s="16" t="s">
        <v>1069</v>
      </c>
      <c r="D1064" s="12" t="s">
        <v>14</v>
      </c>
      <c r="E1064" s="13" t="s">
        <v>38</v>
      </c>
      <c r="F1064" s="14">
        <v>0.0371875</v>
      </c>
      <c r="G1064" s="15" t="s">
        <v>1070</v>
      </c>
    </row>
    <row r="1065">
      <c r="A1065" s="23" t="s">
        <v>1068</v>
      </c>
      <c r="B1065" s="24">
        <v>601798.0</v>
      </c>
      <c r="C1065" s="25" t="s">
        <v>1071</v>
      </c>
      <c r="D1065" s="26" t="s">
        <v>14</v>
      </c>
      <c r="E1065" s="32" t="s">
        <v>38</v>
      </c>
      <c r="F1065" s="28">
        <v>0.06072916666666667</v>
      </c>
      <c r="G1065" s="17" t="s">
        <v>1072</v>
      </c>
    </row>
    <row r="1066">
      <c r="A1066" s="4" t="s">
        <v>1068</v>
      </c>
      <c r="B1066" s="10">
        <v>601797.0</v>
      </c>
      <c r="C1066" s="16" t="s">
        <v>1073</v>
      </c>
      <c r="D1066" s="12" t="s">
        <v>14</v>
      </c>
      <c r="E1066" s="13" t="s">
        <v>38</v>
      </c>
      <c r="F1066" s="14">
        <v>0.05403935185185185</v>
      </c>
      <c r="G1066" s="15" t="s">
        <v>1074</v>
      </c>
    </row>
    <row r="1067">
      <c r="A1067" s="4" t="s">
        <v>1068</v>
      </c>
      <c r="B1067" s="10">
        <v>601799.0</v>
      </c>
      <c r="C1067" s="16" t="s">
        <v>1075</v>
      </c>
      <c r="D1067" s="12" t="s">
        <v>14</v>
      </c>
      <c r="E1067" s="13" t="s">
        <v>38</v>
      </c>
      <c r="F1067" s="14">
        <v>0.05336805555555556</v>
      </c>
      <c r="G1067" s="15" t="s">
        <v>1076</v>
      </c>
    </row>
    <row r="1068">
      <c r="A1068" s="4" t="s">
        <v>1068</v>
      </c>
      <c r="B1068" s="10">
        <v>5016719.0</v>
      </c>
      <c r="C1068" s="16" t="s">
        <v>1077</v>
      </c>
      <c r="D1068" s="12" t="s">
        <v>14</v>
      </c>
      <c r="E1068" s="13" t="s">
        <v>38</v>
      </c>
      <c r="F1068" s="14">
        <v>0.05679398148148148</v>
      </c>
      <c r="G1068" s="15" t="s">
        <v>1078</v>
      </c>
    </row>
    <row r="1069">
      <c r="A1069" s="4" t="s">
        <v>1068</v>
      </c>
      <c r="B1069" s="10">
        <v>2890005.0</v>
      </c>
      <c r="C1069" s="16" t="s">
        <v>1079</v>
      </c>
      <c r="D1069" s="12" t="s">
        <v>14</v>
      </c>
      <c r="E1069" s="13" t="s">
        <v>38</v>
      </c>
      <c r="F1069" s="14">
        <v>0.014513888888888889</v>
      </c>
      <c r="G1069" s="15" t="s">
        <v>1080</v>
      </c>
    </row>
    <row r="1070">
      <c r="A1070" s="4" t="s">
        <v>1068</v>
      </c>
      <c r="B1070" s="10">
        <v>743170.0</v>
      </c>
      <c r="C1070" s="16" t="s">
        <v>1081</v>
      </c>
      <c r="D1070" s="12" t="s">
        <v>14</v>
      </c>
      <c r="E1070" s="13" t="s">
        <v>19</v>
      </c>
      <c r="F1070" s="14">
        <v>0.07740740740740741</v>
      </c>
      <c r="G1070" s="15" t="s">
        <v>1082</v>
      </c>
    </row>
    <row r="1071">
      <c r="A1071" s="4" t="s">
        <v>1068</v>
      </c>
      <c r="B1071" s="10">
        <v>2818081.0</v>
      </c>
      <c r="C1071" s="16" t="s">
        <v>592</v>
      </c>
      <c r="D1071" s="12" t="s">
        <v>14</v>
      </c>
      <c r="E1071" s="13" t="s">
        <v>15</v>
      </c>
      <c r="F1071" s="14">
        <v>0.029756944444444444</v>
      </c>
      <c r="G1071" s="15" t="s">
        <v>1083</v>
      </c>
    </row>
    <row r="1072">
      <c r="A1072" s="4" t="s">
        <v>1068</v>
      </c>
      <c r="B1072" s="10">
        <v>2810628.0</v>
      </c>
      <c r="C1072" s="16" t="s">
        <v>1084</v>
      </c>
      <c r="D1072" s="12" t="s">
        <v>14</v>
      </c>
      <c r="E1072" s="13" t="s">
        <v>15</v>
      </c>
      <c r="F1072" s="14">
        <v>0.04836805555555555</v>
      </c>
      <c r="G1072" s="15" t="s">
        <v>1085</v>
      </c>
    </row>
    <row r="1073">
      <c r="A1073" s="23" t="s">
        <v>1068</v>
      </c>
      <c r="B1073" s="24">
        <v>546059.0</v>
      </c>
      <c r="C1073" s="25" t="s">
        <v>1086</v>
      </c>
      <c r="D1073" s="26" t="s">
        <v>14</v>
      </c>
      <c r="E1073" s="27" t="s">
        <v>15</v>
      </c>
      <c r="F1073" s="28">
        <v>0.0716087962962963</v>
      </c>
      <c r="G1073" s="17" t="s">
        <v>1087</v>
      </c>
    </row>
    <row r="1074">
      <c r="A1074" s="23" t="s">
        <v>1068</v>
      </c>
      <c r="B1074" s="24">
        <v>598478.0</v>
      </c>
      <c r="C1074" s="25" t="s">
        <v>1088</v>
      </c>
      <c r="D1074" s="26" t="s">
        <v>14</v>
      </c>
      <c r="E1074" s="27" t="s">
        <v>109</v>
      </c>
      <c r="F1074" s="28">
        <v>0.027939814814814813</v>
      </c>
      <c r="G1074" s="17" t="s">
        <v>1089</v>
      </c>
    </row>
    <row r="1075">
      <c r="A1075" s="4" t="s">
        <v>1068</v>
      </c>
      <c r="B1075" s="10">
        <v>418270.0</v>
      </c>
      <c r="C1075" s="16" t="s">
        <v>1090</v>
      </c>
      <c r="D1075" s="12" t="s">
        <v>14</v>
      </c>
      <c r="E1075" s="13" t="s">
        <v>109</v>
      </c>
      <c r="F1075" s="14">
        <v>0.03184027777777778</v>
      </c>
      <c r="G1075" s="15" t="s">
        <v>1091</v>
      </c>
    </row>
    <row r="1076">
      <c r="A1076" s="4" t="s">
        <v>1068</v>
      </c>
      <c r="B1076" s="10">
        <v>772319.0</v>
      </c>
      <c r="C1076" s="16" t="s">
        <v>1092</v>
      </c>
      <c r="D1076" s="12" t="s">
        <v>14</v>
      </c>
      <c r="E1076" s="13" t="s">
        <v>109</v>
      </c>
      <c r="F1076" s="14">
        <v>0.027523148148148147</v>
      </c>
      <c r="G1076" s="15" t="s">
        <v>1093</v>
      </c>
    </row>
    <row r="1077">
      <c r="A1077" s="4" t="s">
        <v>1068</v>
      </c>
      <c r="B1077" s="10">
        <v>3007902.0</v>
      </c>
      <c r="C1077" s="16" t="s">
        <v>1094</v>
      </c>
      <c r="D1077" s="12" t="s">
        <v>14</v>
      </c>
      <c r="E1077" s="13" t="s">
        <v>109</v>
      </c>
      <c r="F1077" s="14">
        <v>0.06027777777777778</v>
      </c>
      <c r="G1077" s="15" t="s">
        <v>1095</v>
      </c>
    </row>
    <row r="1078">
      <c r="A1078" s="4" t="s">
        <v>1068</v>
      </c>
      <c r="B1078" s="10">
        <v>3019204.0</v>
      </c>
      <c r="C1078" s="16" t="s">
        <v>1096</v>
      </c>
      <c r="D1078" s="12" t="s">
        <v>14</v>
      </c>
      <c r="E1078" s="13" t="s">
        <v>109</v>
      </c>
      <c r="F1078" s="14">
        <v>0.0369212962962963</v>
      </c>
      <c r="G1078" s="15" t="s">
        <v>1097</v>
      </c>
    </row>
    <row r="1079">
      <c r="A1079" s="4" t="s">
        <v>1068</v>
      </c>
      <c r="B1079" s="10">
        <v>734650.0</v>
      </c>
      <c r="C1079" s="16" t="s">
        <v>1098</v>
      </c>
      <c r="D1079" s="12" t="s">
        <v>14</v>
      </c>
      <c r="E1079" s="13" t="s">
        <v>26</v>
      </c>
      <c r="F1079" s="14">
        <v>0.07376157407407408</v>
      </c>
      <c r="G1079" s="15" t="s">
        <v>1099</v>
      </c>
    </row>
    <row r="1080">
      <c r="A1080" s="4" t="s">
        <v>1068</v>
      </c>
      <c r="B1080" s="10">
        <v>602523.0</v>
      </c>
      <c r="C1080" s="16" t="s">
        <v>1100</v>
      </c>
      <c r="D1080" s="12" t="s">
        <v>14</v>
      </c>
      <c r="E1080" s="13" t="s">
        <v>26</v>
      </c>
      <c r="F1080" s="14">
        <v>0.05171296296296296</v>
      </c>
      <c r="G1080" s="15" t="s">
        <v>1101</v>
      </c>
    </row>
    <row r="1081">
      <c r="A1081" s="4" t="s">
        <v>1068</v>
      </c>
      <c r="B1081" s="10">
        <v>5034171.0</v>
      </c>
      <c r="C1081" s="16" t="s">
        <v>1102</v>
      </c>
      <c r="D1081" s="12" t="s">
        <v>14</v>
      </c>
      <c r="E1081" s="13" t="s">
        <v>26</v>
      </c>
      <c r="F1081" s="14">
        <v>0.059027777777777776</v>
      </c>
      <c r="G1081" s="17" t="s">
        <v>1103</v>
      </c>
    </row>
    <row r="1082">
      <c r="A1082" s="4" t="s">
        <v>1068</v>
      </c>
      <c r="B1082" s="10">
        <v>2814099.0</v>
      </c>
      <c r="C1082" s="16" t="s">
        <v>1104</v>
      </c>
      <c r="D1082" s="12" t="s">
        <v>14</v>
      </c>
      <c r="E1082" s="13" t="s">
        <v>26</v>
      </c>
      <c r="F1082" s="14">
        <v>0.038969907407407404</v>
      </c>
      <c r="G1082" s="17" t="s">
        <v>1105</v>
      </c>
    </row>
    <row r="1083">
      <c r="A1083" s="4" t="s">
        <v>1068</v>
      </c>
      <c r="B1083" s="10">
        <v>520232.0</v>
      </c>
      <c r="C1083" s="16" t="s">
        <v>1106</v>
      </c>
      <c r="D1083" s="12" t="s">
        <v>18</v>
      </c>
      <c r="E1083" s="13" t="s">
        <v>26</v>
      </c>
      <c r="F1083" s="14">
        <v>0.1066087962962963</v>
      </c>
      <c r="G1083" s="17" t="s">
        <v>1107</v>
      </c>
    </row>
    <row r="1084">
      <c r="A1084" s="4" t="s">
        <v>1068</v>
      </c>
      <c r="B1084" s="10">
        <v>2866030.0</v>
      </c>
      <c r="C1084" s="16" t="s">
        <v>1108</v>
      </c>
      <c r="D1084" s="12" t="s">
        <v>34</v>
      </c>
      <c r="E1084" s="13" t="s">
        <v>38</v>
      </c>
      <c r="F1084" s="14">
        <v>0.06850694444444444</v>
      </c>
      <c r="G1084" s="17" t="s">
        <v>1109</v>
      </c>
    </row>
    <row r="1085">
      <c r="A1085" s="4" t="s">
        <v>1068</v>
      </c>
      <c r="B1085" s="10">
        <v>2873256.0</v>
      </c>
      <c r="C1085" s="16" t="s">
        <v>1110</v>
      </c>
      <c r="D1085" s="12" t="s">
        <v>34</v>
      </c>
      <c r="E1085" s="13" t="s">
        <v>38</v>
      </c>
      <c r="F1085" s="14">
        <v>0.04898148148148148</v>
      </c>
      <c r="G1085" s="17" t="s">
        <v>1111</v>
      </c>
    </row>
    <row r="1086">
      <c r="A1086" s="4" t="s">
        <v>1068</v>
      </c>
      <c r="B1086" s="10">
        <v>2424835.0</v>
      </c>
      <c r="C1086" s="16" t="s">
        <v>1112</v>
      </c>
      <c r="D1086" s="12" t="s">
        <v>34</v>
      </c>
      <c r="E1086" s="13" t="s">
        <v>38</v>
      </c>
      <c r="F1086" s="14">
        <v>0.06266203703703704</v>
      </c>
      <c r="G1086" s="17" t="s">
        <v>1113</v>
      </c>
    </row>
    <row r="1087">
      <c r="A1087" s="4" t="s">
        <v>1068</v>
      </c>
      <c r="B1087" s="10">
        <v>3007223.0</v>
      </c>
      <c r="C1087" s="16" t="s">
        <v>1114</v>
      </c>
      <c r="D1087" s="12" t="s">
        <v>34</v>
      </c>
      <c r="E1087" s="13" t="s">
        <v>19</v>
      </c>
      <c r="F1087" s="14">
        <v>0.04527777777777778</v>
      </c>
      <c r="G1087" s="17" t="s">
        <v>1115</v>
      </c>
    </row>
    <row r="1088">
      <c r="A1088" s="4" t="s">
        <v>1068</v>
      </c>
      <c r="B1088" s="10">
        <v>737753.0</v>
      </c>
      <c r="C1088" s="16" t="s">
        <v>1116</v>
      </c>
      <c r="D1088" s="12" t="s">
        <v>34</v>
      </c>
      <c r="E1088" s="13" t="s">
        <v>19</v>
      </c>
      <c r="F1088" s="14">
        <v>0.051550925925925924</v>
      </c>
      <c r="G1088" s="15" t="s">
        <v>1117</v>
      </c>
    </row>
    <row r="1089">
      <c r="A1089" s="4" t="s">
        <v>1068</v>
      </c>
      <c r="B1089" s="10">
        <v>5025099.0</v>
      </c>
      <c r="C1089" s="16" t="s">
        <v>1118</v>
      </c>
      <c r="D1089" s="12" t="s">
        <v>34</v>
      </c>
      <c r="E1089" s="13" t="s">
        <v>15</v>
      </c>
      <c r="F1089" s="14">
        <v>0.031886574074074074</v>
      </c>
      <c r="G1089" s="15" t="s">
        <v>1119</v>
      </c>
    </row>
    <row r="1090">
      <c r="A1090" s="4" t="s">
        <v>1068</v>
      </c>
      <c r="B1090" s="10">
        <v>2814134.0</v>
      </c>
      <c r="C1090" s="16" t="s">
        <v>1120</v>
      </c>
      <c r="D1090" s="12" t="s">
        <v>34</v>
      </c>
      <c r="E1090" s="13" t="s">
        <v>15</v>
      </c>
      <c r="F1090" s="14">
        <v>0.05388888888888889</v>
      </c>
      <c r="G1090" s="15" t="s">
        <v>1121</v>
      </c>
    </row>
    <row r="1091">
      <c r="A1091" s="4" t="s">
        <v>1068</v>
      </c>
      <c r="B1091" s="10">
        <v>2865040.0</v>
      </c>
      <c r="C1091" s="16" t="s">
        <v>1122</v>
      </c>
      <c r="D1091" s="12" t="s">
        <v>34</v>
      </c>
      <c r="E1091" s="13" t="s">
        <v>15</v>
      </c>
      <c r="F1091" s="14">
        <v>0.06721064814814814</v>
      </c>
      <c r="G1091" s="15" t="s">
        <v>1123</v>
      </c>
    </row>
    <row r="1092">
      <c r="A1092" s="4" t="s">
        <v>1068</v>
      </c>
      <c r="B1092" s="10">
        <v>2835020.0</v>
      </c>
      <c r="C1092" s="16" t="s">
        <v>1124</v>
      </c>
      <c r="D1092" s="12" t="s">
        <v>34</v>
      </c>
      <c r="E1092" s="13" t="s">
        <v>15</v>
      </c>
      <c r="F1092" s="14">
        <v>0.017488425925925925</v>
      </c>
      <c r="G1092" s="15" t="s">
        <v>1125</v>
      </c>
    </row>
    <row r="1093">
      <c r="A1093" s="4" t="s">
        <v>1068</v>
      </c>
      <c r="B1093" s="10">
        <v>784278.0</v>
      </c>
      <c r="C1093" s="16" t="s">
        <v>242</v>
      </c>
      <c r="D1093" s="12" t="s">
        <v>34</v>
      </c>
      <c r="E1093" s="13" t="s">
        <v>26</v>
      </c>
      <c r="F1093" s="14">
        <v>0.034444444444444444</v>
      </c>
      <c r="G1093" s="15" t="s">
        <v>1126</v>
      </c>
    </row>
    <row r="1094">
      <c r="A1094" s="4" t="s">
        <v>1068</v>
      </c>
      <c r="B1094" s="10">
        <v>2864002.0</v>
      </c>
      <c r="C1094" s="16" t="s">
        <v>1127</v>
      </c>
      <c r="D1094" s="12" t="s">
        <v>31</v>
      </c>
      <c r="E1094" s="13" t="s">
        <v>38</v>
      </c>
      <c r="F1094" s="14">
        <v>0.16390046296296296</v>
      </c>
      <c r="G1094" s="15" t="s">
        <v>1128</v>
      </c>
    </row>
    <row r="1095">
      <c r="A1095" s="4" t="s">
        <v>1068</v>
      </c>
      <c r="B1095" s="10">
        <v>2877130.0</v>
      </c>
      <c r="C1095" s="16" t="s">
        <v>1129</v>
      </c>
      <c r="D1095" s="12" t="s">
        <v>31</v>
      </c>
      <c r="E1095" s="13" t="s">
        <v>38</v>
      </c>
      <c r="F1095" s="14">
        <v>0.08474537037037037</v>
      </c>
      <c r="G1095" s="15" t="s">
        <v>1130</v>
      </c>
    </row>
    <row r="1096">
      <c r="A1096" s="4" t="s">
        <v>1068</v>
      </c>
      <c r="B1096" s="10">
        <v>2886012.0</v>
      </c>
      <c r="C1096" s="16" t="s">
        <v>1131</v>
      </c>
      <c r="D1096" s="12" t="s">
        <v>31</v>
      </c>
      <c r="E1096" s="13" t="s">
        <v>38</v>
      </c>
      <c r="F1096" s="14">
        <v>0.08030092592592593</v>
      </c>
      <c r="G1096" s="15" t="s">
        <v>1132</v>
      </c>
    </row>
    <row r="1097">
      <c r="A1097" s="4" t="s">
        <v>1068</v>
      </c>
      <c r="B1097" s="10">
        <v>2424328.0</v>
      </c>
      <c r="C1097" s="16" t="s">
        <v>1133</v>
      </c>
      <c r="D1097" s="12" t="s">
        <v>31</v>
      </c>
      <c r="E1097" s="13" t="s">
        <v>38</v>
      </c>
      <c r="F1097" s="14">
        <v>0.10037037037037037</v>
      </c>
      <c r="G1097" s="15" t="s">
        <v>1134</v>
      </c>
    </row>
    <row r="1098">
      <c r="A1098" s="4" t="s">
        <v>1068</v>
      </c>
      <c r="B1098" s="10">
        <v>2428500.0</v>
      </c>
      <c r="C1098" s="16" t="s">
        <v>1135</v>
      </c>
      <c r="D1098" s="12" t="s">
        <v>31</v>
      </c>
      <c r="E1098" s="13" t="s">
        <v>38</v>
      </c>
      <c r="F1098" s="14">
        <v>0.041840277777777775</v>
      </c>
      <c r="G1098" s="15" t="s">
        <v>1136</v>
      </c>
    </row>
    <row r="1099">
      <c r="A1099" s="4" t="s">
        <v>1068</v>
      </c>
      <c r="B1099" s="10">
        <v>2422669.0</v>
      </c>
      <c r="C1099" s="16" t="s">
        <v>1137</v>
      </c>
      <c r="D1099" s="12" t="s">
        <v>31</v>
      </c>
      <c r="E1099" s="13" t="s">
        <v>19</v>
      </c>
      <c r="F1099" s="14">
        <v>0.05708333333333333</v>
      </c>
      <c r="G1099" s="15" t="s">
        <v>1138</v>
      </c>
    </row>
    <row r="1100">
      <c r="A1100" s="4" t="s">
        <v>1068</v>
      </c>
      <c r="B1100" s="10">
        <v>2422824.0</v>
      </c>
      <c r="C1100" s="16" t="s">
        <v>1139</v>
      </c>
      <c r="D1100" s="12" t="s">
        <v>31</v>
      </c>
      <c r="E1100" s="13" t="s">
        <v>15</v>
      </c>
      <c r="F1100" s="14">
        <v>0.23188657407407406</v>
      </c>
      <c r="G1100" s="15" t="s">
        <v>1140</v>
      </c>
    </row>
    <row r="1101">
      <c r="A1101" s="4" t="s">
        <v>1068</v>
      </c>
      <c r="B1101" s="10">
        <v>2883181.0</v>
      </c>
      <c r="C1101" s="16" t="s">
        <v>1141</v>
      </c>
      <c r="D1101" s="12" t="s">
        <v>31</v>
      </c>
      <c r="E1101" s="13" t="s">
        <v>15</v>
      </c>
      <c r="F1101" s="14">
        <v>0.07341435185185186</v>
      </c>
      <c r="G1101" s="15" t="s">
        <v>1142</v>
      </c>
    </row>
    <row r="1102">
      <c r="A1102" s="4" t="s">
        <v>1068</v>
      </c>
      <c r="B1102" s="10">
        <v>2886217.0</v>
      </c>
      <c r="C1102" s="16" t="s">
        <v>1143</v>
      </c>
      <c r="D1102" s="12" t="s">
        <v>31</v>
      </c>
      <c r="E1102" s="13" t="s">
        <v>15</v>
      </c>
      <c r="F1102" s="14">
        <v>0.07015046296296296</v>
      </c>
      <c r="G1102" s="15" t="s">
        <v>1144</v>
      </c>
    </row>
    <row r="1103">
      <c r="A1103" s="4" t="s">
        <v>1068</v>
      </c>
      <c r="B1103" s="10">
        <v>2881243.0</v>
      </c>
      <c r="C1103" s="16" t="s">
        <v>1145</v>
      </c>
      <c r="D1103" s="12" t="s">
        <v>31</v>
      </c>
      <c r="E1103" s="13" t="s">
        <v>15</v>
      </c>
      <c r="F1103" s="14">
        <v>0.08011574074074074</v>
      </c>
      <c r="G1103" s="15" t="s">
        <v>1146</v>
      </c>
    </row>
    <row r="1104">
      <c r="A1104" s="4" t="s">
        <v>1068</v>
      </c>
      <c r="B1104" s="10">
        <v>2887235.0</v>
      </c>
      <c r="C1104" s="16" t="s">
        <v>1147</v>
      </c>
      <c r="D1104" s="12" t="s">
        <v>31</v>
      </c>
      <c r="E1104" s="13" t="s">
        <v>15</v>
      </c>
      <c r="F1104" s="14">
        <v>0.05430555555555556</v>
      </c>
      <c r="G1104" s="15" t="s">
        <v>1148</v>
      </c>
    </row>
    <row r="1105">
      <c r="A1105" s="4" t="s">
        <v>1068</v>
      </c>
      <c r="B1105" s="10">
        <v>2893067.0</v>
      </c>
      <c r="C1105" s="16" t="s">
        <v>1149</v>
      </c>
      <c r="D1105" s="12" t="s">
        <v>31</v>
      </c>
      <c r="E1105" s="13" t="s">
        <v>15</v>
      </c>
      <c r="F1105" s="14">
        <v>0.03570601851851852</v>
      </c>
      <c r="G1105" s="15"/>
    </row>
    <row r="1106">
      <c r="A1106" s="4" t="s">
        <v>1068</v>
      </c>
      <c r="B1106" s="10">
        <v>2881062.0</v>
      </c>
      <c r="C1106" s="16" t="s">
        <v>1150</v>
      </c>
      <c r="D1106" s="12" t="s">
        <v>31</v>
      </c>
      <c r="E1106" s="13" t="s">
        <v>15</v>
      </c>
      <c r="F1106" s="14">
        <v>0.12842592592592592</v>
      </c>
      <c r="G1106" s="15"/>
    </row>
    <row r="1107">
      <c r="A1107" s="4" t="s">
        <v>1068</v>
      </c>
      <c r="B1107" s="10">
        <v>2878108.0</v>
      </c>
      <c r="C1107" s="16" t="s">
        <v>1151</v>
      </c>
      <c r="D1107" s="12" t="s">
        <v>31</v>
      </c>
      <c r="E1107" s="13" t="s">
        <v>15</v>
      </c>
      <c r="F1107" s="14">
        <v>0.02880787037037037</v>
      </c>
      <c r="G1107" s="15"/>
    </row>
    <row r="1108">
      <c r="A1108" s="4" t="s">
        <v>1068</v>
      </c>
      <c r="B1108" s="10">
        <v>2883179.0</v>
      </c>
      <c r="C1108" s="16" t="s">
        <v>1152</v>
      </c>
      <c r="D1108" s="12" t="s">
        <v>31</v>
      </c>
      <c r="E1108" s="13" t="s">
        <v>15</v>
      </c>
      <c r="F1108" s="14">
        <v>0.053877314814814815</v>
      </c>
      <c r="G1108" s="15"/>
    </row>
    <row r="1109">
      <c r="A1109" s="4" t="s">
        <v>1068</v>
      </c>
      <c r="B1109" s="10">
        <v>2452211.0</v>
      </c>
      <c r="C1109" s="16" t="s">
        <v>1153</v>
      </c>
      <c r="D1109" s="12" t="s">
        <v>26</v>
      </c>
      <c r="E1109" s="13" t="s">
        <v>38</v>
      </c>
      <c r="F1109" s="14">
        <v>0.03634259259259259</v>
      </c>
      <c r="G1109" s="17"/>
    </row>
    <row r="1110">
      <c r="A1110" s="4" t="s">
        <v>1068</v>
      </c>
      <c r="B1110" s="10">
        <v>2807864.0</v>
      </c>
      <c r="C1110" s="16" t="s">
        <v>1154</v>
      </c>
      <c r="D1110" s="12" t="s">
        <v>26</v>
      </c>
      <c r="E1110" s="13" t="s">
        <v>38</v>
      </c>
      <c r="F1110" s="14">
        <v>0.11969907407407407</v>
      </c>
      <c r="G1110" s="17"/>
    </row>
    <row r="1111">
      <c r="A1111" s="4" t="s">
        <v>1068</v>
      </c>
      <c r="B1111" s="10">
        <v>772323.0</v>
      </c>
      <c r="C1111" s="16" t="s">
        <v>1155</v>
      </c>
      <c r="D1111" s="12" t="s">
        <v>26</v>
      </c>
      <c r="E1111" s="13" t="s">
        <v>38</v>
      </c>
      <c r="F1111" s="14">
        <v>0.09130787037037037</v>
      </c>
      <c r="G1111" s="17"/>
    </row>
    <row r="1112">
      <c r="A1112" s="4" t="s">
        <v>1068</v>
      </c>
      <c r="B1112" s="10">
        <v>728391.0</v>
      </c>
      <c r="C1112" s="16" t="s">
        <v>1156</v>
      </c>
      <c r="D1112" s="12" t="s">
        <v>26</v>
      </c>
      <c r="E1112" s="13" t="s">
        <v>38</v>
      </c>
      <c r="F1112" s="14">
        <v>0.04850694444444444</v>
      </c>
      <c r="G1112" s="17"/>
    </row>
    <row r="1113">
      <c r="A1113" s="4" t="s">
        <v>1068</v>
      </c>
      <c r="B1113" s="10">
        <v>746311.0</v>
      </c>
      <c r="C1113" s="16" t="s">
        <v>1157</v>
      </c>
      <c r="D1113" s="12" t="s">
        <v>26</v>
      </c>
      <c r="E1113" s="13" t="s">
        <v>38</v>
      </c>
      <c r="F1113" s="14">
        <v>0.0637037037037037</v>
      </c>
      <c r="G1113" s="17"/>
    </row>
    <row r="1114">
      <c r="A1114" s="4" t="s">
        <v>1068</v>
      </c>
      <c r="B1114" s="10">
        <v>5025102.0</v>
      </c>
      <c r="C1114" s="16" t="s">
        <v>1158</v>
      </c>
      <c r="D1114" s="12" t="s">
        <v>26</v>
      </c>
      <c r="E1114" s="13" t="s">
        <v>38</v>
      </c>
      <c r="F1114" s="14">
        <v>0.0787037037037037</v>
      </c>
      <c r="G1114" s="17"/>
    </row>
    <row r="1115">
      <c r="A1115" s="4" t="s">
        <v>1068</v>
      </c>
      <c r="B1115" s="10">
        <v>806167.0</v>
      </c>
      <c r="C1115" s="16" t="s">
        <v>1159</v>
      </c>
      <c r="D1115" s="12" t="s">
        <v>26</v>
      </c>
      <c r="E1115" s="13" t="s">
        <v>38</v>
      </c>
      <c r="F1115" s="14">
        <v>0.10002314814814815</v>
      </c>
      <c r="G1115" s="17"/>
    </row>
    <row r="1116">
      <c r="A1116" s="4" t="s">
        <v>1068</v>
      </c>
      <c r="B1116" s="10">
        <v>791354.0</v>
      </c>
      <c r="C1116" s="16" t="s">
        <v>1160</v>
      </c>
      <c r="D1116" s="12" t="s">
        <v>26</v>
      </c>
      <c r="E1116" s="13" t="s">
        <v>38</v>
      </c>
      <c r="F1116" s="14">
        <v>0.13571759259259258</v>
      </c>
      <c r="G1116" s="17"/>
    </row>
    <row r="1117">
      <c r="A1117" s="4" t="s">
        <v>1068</v>
      </c>
      <c r="B1117" s="10">
        <v>743171.0</v>
      </c>
      <c r="C1117" s="16" t="s">
        <v>1161</v>
      </c>
      <c r="D1117" s="12" t="s">
        <v>26</v>
      </c>
      <c r="E1117" s="13" t="s">
        <v>38</v>
      </c>
      <c r="F1117" s="14">
        <v>0.05655092592592593</v>
      </c>
      <c r="G1117" s="17"/>
    </row>
    <row r="1118">
      <c r="A1118" s="4" t="s">
        <v>1068</v>
      </c>
      <c r="B1118" s="10">
        <v>2804664.0</v>
      </c>
      <c r="C1118" s="16" t="s">
        <v>770</v>
      </c>
      <c r="D1118" s="12" t="s">
        <v>26</v>
      </c>
      <c r="E1118" s="13" t="s">
        <v>38</v>
      </c>
      <c r="F1118" s="14">
        <v>0.03709490740740741</v>
      </c>
      <c r="G1118" s="17"/>
    </row>
    <row r="1119">
      <c r="A1119" s="4" t="s">
        <v>1068</v>
      </c>
      <c r="B1119" s="10">
        <v>2805571.0</v>
      </c>
      <c r="C1119" s="16" t="s">
        <v>1162</v>
      </c>
      <c r="D1119" s="12" t="s">
        <v>26</v>
      </c>
      <c r="E1119" s="13" t="s">
        <v>38</v>
      </c>
      <c r="F1119" s="14">
        <v>0.04421296296296296</v>
      </c>
      <c r="G1119" s="17"/>
    </row>
    <row r="1120">
      <c r="A1120" s="4" t="s">
        <v>1068</v>
      </c>
      <c r="B1120" s="10">
        <v>5030981.0</v>
      </c>
      <c r="C1120" s="16" t="s">
        <v>1163</v>
      </c>
      <c r="D1120" s="12" t="s">
        <v>26</v>
      </c>
      <c r="E1120" s="13" t="s">
        <v>38</v>
      </c>
      <c r="F1120" s="14">
        <v>0.06582175925925926</v>
      </c>
      <c r="G1120" s="17"/>
    </row>
    <row r="1121">
      <c r="A1121" s="4" t="s">
        <v>1068</v>
      </c>
      <c r="B1121" s="10">
        <v>2822655.0</v>
      </c>
      <c r="C1121" s="16" t="s">
        <v>1164</v>
      </c>
      <c r="D1121" s="12" t="s">
        <v>26</v>
      </c>
      <c r="E1121" s="13" t="s">
        <v>38</v>
      </c>
      <c r="F1121" s="14">
        <v>0.05386574074074074</v>
      </c>
      <c r="G1121" s="17"/>
    </row>
    <row r="1122">
      <c r="A1122" s="4" t="s">
        <v>1068</v>
      </c>
      <c r="B1122" s="10">
        <v>2822654.0</v>
      </c>
      <c r="C1122" s="16" t="s">
        <v>1165</v>
      </c>
      <c r="D1122" s="12" t="s">
        <v>26</v>
      </c>
      <c r="E1122" s="13" t="s">
        <v>38</v>
      </c>
      <c r="F1122" s="14">
        <v>0.07166666666666667</v>
      </c>
      <c r="G1122" s="17"/>
    </row>
    <row r="1123">
      <c r="A1123" s="4" t="s">
        <v>1068</v>
      </c>
      <c r="B1123" s="10">
        <v>2862037.0</v>
      </c>
      <c r="C1123" s="16" t="s">
        <v>1166</v>
      </c>
      <c r="D1123" s="12" t="s">
        <v>26</v>
      </c>
      <c r="E1123" s="13" t="s">
        <v>38</v>
      </c>
      <c r="F1123" s="14">
        <v>0.049421296296296297</v>
      </c>
      <c r="G1123" s="17"/>
    </row>
    <row r="1124">
      <c r="A1124" s="4" t="s">
        <v>1068</v>
      </c>
      <c r="B1124" s="10">
        <v>2859040.0</v>
      </c>
      <c r="C1124" s="11" t="s">
        <v>1167</v>
      </c>
      <c r="D1124" s="12" t="s">
        <v>26</v>
      </c>
      <c r="E1124" s="13" t="s">
        <v>38</v>
      </c>
      <c r="F1124" s="14">
        <v>0.027696759259259258</v>
      </c>
      <c r="G1124" s="17"/>
    </row>
    <row r="1125">
      <c r="A1125" s="4" t="s">
        <v>1068</v>
      </c>
      <c r="B1125" s="10">
        <v>2873072.0</v>
      </c>
      <c r="C1125" s="16" t="s">
        <v>1168</v>
      </c>
      <c r="D1125" s="12" t="s">
        <v>26</v>
      </c>
      <c r="E1125" s="13" t="s">
        <v>38</v>
      </c>
      <c r="F1125" s="14">
        <v>0.025775462962962962</v>
      </c>
      <c r="G1125" s="17"/>
    </row>
    <row r="1126">
      <c r="A1126" s="4" t="s">
        <v>1068</v>
      </c>
      <c r="B1126" s="10">
        <v>2822202.0</v>
      </c>
      <c r="C1126" s="16" t="s">
        <v>1169</v>
      </c>
      <c r="D1126" s="12" t="s">
        <v>26</v>
      </c>
      <c r="E1126" s="13" t="s">
        <v>38</v>
      </c>
      <c r="F1126" s="14">
        <v>0.01678240740740741</v>
      </c>
      <c r="G1126" s="17"/>
    </row>
    <row r="1127">
      <c r="A1127" s="4" t="s">
        <v>1068</v>
      </c>
      <c r="B1127" s="10">
        <v>3107161.0</v>
      </c>
      <c r="C1127" s="16" t="s">
        <v>1170</v>
      </c>
      <c r="D1127" s="12" t="s">
        <v>26</v>
      </c>
      <c r="E1127" s="13" t="s">
        <v>38</v>
      </c>
      <c r="F1127" s="14">
        <v>0.054224537037037036</v>
      </c>
      <c r="G1127" s="17"/>
    </row>
    <row r="1128">
      <c r="A1128" s="4" t="s">
        <v>1068</v>
      </c>
      <c r="B1128" s="10">
        <v>2885049.0</v>
      </c>
      <c r="C1128" s="16" t="s">
        <v>1171</v>
      </c>
      <c r="D1128" s="12" t="s">
        <v>26</v>
      </c>
      <c r="E1128" s="13" t="s">
        <v>38</v>
      </c>
      <c r="F1128" s="14">
        <v>0.05087962962962963</v>
      </c>
      <c r="G1128" s="17"/>
    </row>
    <row r="1129">
      <c r="A1129" s="4" t="s">
        <v>1068</v>
      </c>
      <c r="B1129" s="10">
        <v>2874214.0</v>
      </c>
      <c r="C1129" s="16" t="s">
        <v>1172</v>
      </c>
      <c r="D1129" s="12" t="s">
        <v>26</v>
      </c>
      <c r="E1129" s="13" t="s">
        <v>38</v>
      </c>
      <c r="F1129" s="14">
        <v>0.059537037037037034</v>
      </c>
      <c r="G1129" s="17"/>
    </row>
    <row r="1130">
      <c r="A1130" s="4" t="s">
        <v>1068</v>
      </c>
      <c r="B1130" s="10">
        <v>2881212.0</v>
      </c>
      <c r="C1130" s="16" t="s">
        <v>1173</v>
      </c>
      <c r="D1130" s="12" t="s">
        <v>26</v>
      </c>
      <c r="E1130" s="13" t="s">
        <v>38</v>
      </c>
      <c r="F1130" s="14">
        <v>0.045960648148148146</v>
      </c>
      <c r="G1130" s="17"/>
    </row>
    <row r="1131">
      <c r="A1131" s="4" t="s">
        <v>1068</v>
      </c>
      <c r="B1131" s="10">
        <v>2883180.0</v>
      </c>
      <c r="C1131" s="16" t="s">
        <v>1174</v>
      </c>
      <c r="D1131" s="12" t="s">
        <v>26</v>
      </c>
      <c r="E1131" s="13" t="s">
        <v>38</v>
      </c>
      <c r="F1131" s="14">
        <v>0.03125</v>
      </c>
      <c r="G1131" s="21"/>
    </row>
    <row r="1132">
      <c r="A1132" s="4" t="s">
        <v>1068</v>
      </c>
      <c r="B1132" s="10">
        <v>2880244.0</v>
      </c>
      <c r="C1132" s="16" t="s">
        <v>1175</v>
      </c>
      <c r="D1132" s="12" t="s">
        <v>26</v>
      </c>
      <c r="E1132" s="13" t="s">
        <v>38</v>
      </c>
      <c r="F1132" s="14">
        <v>0.052118055555555556</v>
      </c>
      <c r="G1132" s="21"/>
    </row>
    <row r="1133">
      <c r="A1133" s="4" t="s">
        <v>1068</v>
      </c>
      <c r="B1133" s="10">
        <v>2881068.0</v>
      </c>
      <c r="C1133" s="16" t="s">
        <v>937</v>
      </c>
      <c r="D1133" s="12" t="s">
        <v>26</v>
      </c>
      <c r="E1133" s="13" t="s">
        <v>38</v>
      </c>
      <c r="F1133" s="14">
        <v>0.025243055555555557</v>
      </c>
      <c r="G1133" s="21"/>
    </row>
    <row r="1134">
      <c r="A1134" s="4" t="s">
        <v>1068</v>
      </c>
      <c r="B1134" s="10">
        <v>2424659.0</v>
      </c>
      <c r="C1134" s="16" t="s">
        <v>779</v>
      </c>
      <c r="D1134" s="12" t="s">
        <v>26</v>
      </c>
      <c r="E1134" s="13" t="s">
        <v>38</v>
      </c>
      <c r="F1134" s="14">
        <v>0.046377314814814816</v>
      </c>
      <c r="G1134" s="21"/>
    </row>
    <row r="1135">
      <c r="A1135" s="4" t="s">
        <v>1068</v>
      </c>
      <c r="B1135" s="10">
        <v>2883162.0</v>
      </c>
      <c r="C1135" s="16" t="s">
        <v>1176</v>
      </c>
      <c r="D1135" s="12" t="s">
        <v>26</v>
      </c>
      <c r="E1135" s="13" t="s">
        <v>19</v>
      </c>
      <c r="F1135" s="14">
        <v>0.06606481481481481</v>
      </c>
      <c r="G1135" s="21"/>
    </row>
    <row r="1136">
      <c r="A1136" s="4" t="s">
        <v>1068</v>
      </c>
      <c r="B1136" s="10">
        <v>772329.0</v>
      </c>
      <c r="C1136" s="16" t="s">
        <v>1177</v>
      </c>
      <c r="D1136" s="12" t="s">
        <v>26</v>
      </c>
      <c r="E1136" s="13" t="s">
        <v>19</v>
      </c>
      <c r="F1136" s="14">
        <v>0.03414351851851852</v>
      </c>
      <c r="G1136" s="21"/>
    </row>
    <row r="1137">
      <c r="A1137" s="4" t="s">
        <v>1068</v>
      </c>
      <c r="B1137" s="10">
        <v>751335.0</v>
      </c>
      <c r="C1137" s="16" t="s">
        <v>1178</v>
      </c>
      <c r="D1137" s="12" t="s">
        <v>26</v>
      </c>
      <c r="E1137" s="13" t="s">
        <v>19</v>
      </c>
      <c r="F1137" s="14">
        <v>0.11034722222222222</v>
      </c>
      <c r="G1137" s="21"/>
    </row>
    <row r="1138">
      <c r="A1138" s="4" t="s">
        <v>1068</v>
      </c>
      <c r="B1138" s="10">
        <v>5028662.0</v>
      </c>
      <c r="C1138" s="16" t="s">
        <v>1179</v>
      </c>
      <c r="D1138" s="12" t="s">
        <v>26</v>
      </c>
      <c r="E1138" s="13" t="s">
        <v>19</v>
      </c>
      <c r="F1138" s="14">
        <v>0.3788425925925926</v>
      </c>
      <c r="G1138" s="21"/>
    </row>
    <row r="1139">
      <c r="A1139" s="4" t="s">
        <v>1068</v>
      </c>
      <c r="B1139" s="10">
        <v>5034175.0</v>
      </c>
      <c r="C1139" s="16" t="s">
        <v>1180</v>
      </c>
      <c r="D1139" s="12" t="s">
        <v>26</v>
      </c>
      <c r="E1139" s="13" t="s">
        <v>19</v>
      </c>
      <c r="F1139" s="14">
        <v>0.034074074074074076</v>
      </c>
      <c r="G1139" s="21"/>
    </row>
    <row r="1140">
      <c r="A1140" s="4" t="s">
        <v>1068</v>
      </c>
      <c r="B1140" s="10">
        <v>2833044.0</v>
      </c>
      <c r="C1140" s="16" t="s">
        <v>612</v>
      </c>
      <c r="D1140" s="12" t="s">
        <v>26</v>
      </c>
      <c r="E1140" s="13" t="s">
        <v>19</v>
      </c>
      <c r="F1140" s="14">
        <v>0.026956018518518518</v>
      </c>
      <c r="G1140" s="21"/>
    </row>
    <row r="1141">
      <c r="A1141" s="4" t="s">
        <v>1068</v>
      </c>
      <c r="B1141" s="10">
        <v>2886252.0</v>
      </c>
      <c r="C1141" s="16" t="s">
        <v>276</v>
      </c>
      <c r="D1141" s="12" t="s">
        <v>26</v>
      </c>
      <c r="E1141" s="13" t="s">
        <v>19</v>
      </c>
      <c r="F1141" s="14">
        <v>0.03113425925925926</v>
      </c>
      <c r="G1141" s="21"/>
    </row>
    <row r="1142">
      <c r="A1142" s="4" t="s">
        <v>1068</v>
      </c>
      <c r="B1142" s="10">
        <v>2878200.0</v>
      </c>
      <c r="C1142" s="16" t="s">
        <v>941</v>
      </c>
      <c r="D1142" s="12" t="s">
        <v>26</v>
      </c>
      <c r="E1142" s="13" t="s">
        <v>19</v>
      </c>
      <c r="F1142" s="14">
        <v>0.16766203703703703</v>
      </c>
      <c r="G1142" s="21"/>
    </row>
    <row r="1143">
      <c r="A1143" s="4" t="s">
        <v>1068</v>
      </c>
      <c r="B1143" s="10">
        <v>2874324.0</v>
      </c>
      <c r="C1143" s="16" t="s">
        <v>1181</v>
      </c>
      <c r="D1143" s="12" t="s">
        <v>26</v>
      </c>
      <c r="E1143" s="13" t="s">
        <v>19</v>
      </c>
      <c r="F1143" s="14">
        <v>0.0778125</v>
      </c>
      <c r="G1143" s="21"/>
    </row>
    <row r="1144">
      <c r="A1144" s="4" t="s">
        <v>1068</v>
      </c>
      <c r="B1144" s="10">
        <v>2893129.0</v>
      </c>
      <c r="C1144" s="16" t="s">
        <v>1182</v>
      </c>
      <c r="D1144" s="12" t="s">
        <v>26</v>
      </c>
      <c r="E1144" s="13" t="s">
        <v>19</v>
      </c>
      <c r="F1144" s="14">
        <v>0.0732986111111111</v>
      </c>
      <c r="G1144" s="21"/>
    </row>
    <row r="1145">
      <c r="A1145" s="4" t="s">
        <v>1068</v>
      </c>
      <c r="B1145" s="10">
        <v>3129473.0</v>
      </c>
      <c r="C1145" s="16" t="s">
        <v>1183</v>
      </c>
      <c r="D1145" s="12" t="s">
        <v>26</v>
      </c>
      <c r="E1145" s="13" t="s">
        <v>19</v>
      </c>
      <c r="F1145" s="14">
        <v>0.09091435185185186</v>
      </c>
      <c r="G1145" s="21"/>
    </row>
    <row r="1146">
      <c r="A1146" s="4" t="s">
        <v>1068</v>
      </c>
      <c r="B1146" s="10">
        <v>2421421.0</v>
      </c>
      <c r="C1146" s="16" t="s">
        <v>1184</v>
      </c>
      <c r="D1146" s="12" t="s">
        <v>26</v>
      </c>
      <c r="E1146" s="13" t="s">
        <v>15</v>
      </c>
      <c r="F1146" s="14">
        <v>0.043854166666666666</v>
      </c>
      <c r="G1146" s="21"/>
    </row>
    <row r="1147">
      <c r="A1147" s="4" t="s">
        <v>1068</v>
      </c>
      <c r="B1147" s="10">
        <v>2422522.0</v>
      </c>
      <c r="C1147" s="16" t="s">
        <v>1185</v>
      </c>
      <c r="D1147" s="12" t="s">
        <v>26</v>
      </c>
      <c r="E1147" s="13" t="s">
        <v>15</v>
      </c>
      <c r="F1147" s="14">
        <v>0.03886574074074074</v>
      </c>
      <c r="G1147" s="21"/>
    </row>
    <row r="1148">
      <c r="A1148" s="4" t="s">
        <v>1068</v>
      </c>
      <c r="B1148" s="10">
        <v>2425358.0</v>
      </c>
      <c r="C1148" s="16" t="s">
        <v>1186</v>
      </c>
      <c r="D1148" s="12" t="s">
        <v>26</v>
      </c>
      <c r="E1148" s="13" t="s">
        <v>15</v>
      </c>
      <c r="F1148" s="14">
        <v>0.055636574074074074</v>
      </c>
      <c r="G1148" s="21"/>
    </row>
    <row r="1149">
      <c r="A1149" s="4" t="s">
        <v>1068</v>
      </c>
      <c r="B1149" s="10">
        <v>2808537.0</v>
      </c>
      <c r="C1149" s="16" t="s">
        <v>1187</v>
      </c>
      <c r="D1149" s="12" t="s">
        <v>26</v>
      </c>
      <c r="E1149" s="13" t="s">
        <v>15</v>
      </c>
      <c r="F1149" s="14">
        <v>0.05115740740740741</v>
      </c>
      <c r="G1149" s="21"/>
    </row>
    <row r="1150">
      <c r="A1150" s="4" t="s">
        <v>1068</v>
      </c>
      <c r="B1150" s="10">
        <v>2809586.0</v>
      </c>
      <c r="C1150" s="16" t="s">
        <v>1188</v>
      </c>
      <c r="D1150" s="12" t="s">
        <v>26</v>
      </c>
      <c r="E1150" s="13" t="s">
        <v>15</v>
      </c>
      <c r="F1150" s="14">
        <v>0.07494212962962964</v>
      </c>
      <c r="G1150" s="21"/>
    </row>
    <row r="1151">
      <c r="A1151" s="4" t="s">
        <v>1068</v>
      </c>
      <c r="B1151" s="10">
        <v>2809587.0</v>
      </c>
      <c r="C1151" s="16" t="s">
        <v>1189</v>
      </c>
      <c r="D1151" s="12" t="s">
        <v>26</v>
      </c>
      <c r="E1151" s="13" t="s">
        <v>15</v>
      </c>
      <c r="F1151" s="14">
        <v>0.05579861111111111</v>
      </c>
      <c r="G1151" s="21"/>
    </row>
    <row r="1152">
      <c r="A1152" s="4" t="s">
        <v>1068</v>
      </c>
      <c r="B1152" s="10">
        <v>782130.0</v>
      </c>
      <c r="C1152" s="16" t="s">
        <v>1190</v>
      </c>
      <c r="D1152" s="12" t="s">
        <v>26</v>
      </c>
      <c r="E1152" s="13" t="s">
        <v>15</v>
      </c>
      <c r="F1152" s="14">
        <v>0.06299768518518518</v>
      </c>
      <c r="G1152" s="21"/>
    </row>
    <row r="1153">
      <c r="A1153" s="4" t="s">
        <v>1068</v>
      </c>
      <c r="B1153" s="10">
        <v>2853006.0</v>
      </c>
      <c r="C1153" s="16" t="s">
        <v>1191</v>
      </c>
      <c r="D1153" s="12" t="s">
        <v>26</v>
      </c>
      <c r="E1153" s="13" t="s">
        <v>15</v>
      </c>
      <c r="F1153" s="14">
        <v>0.025590277777777778</v>
      </c>
      <c r="G1153" s="21"/>
    </row>
    <row r="1154">
      <c r="A1154" s="4" t="s">
        <v>1068</v>
      </c>
      <c r="B1154" s="10">
        <v>2814070.0</v>
      </c>
      <c r="C1154" s="16" t="s">
        <v>1192</v>
      </c>
      <c r="D1154" s="12" t="s">
        <v>26</v>
      </c>
      <c r="E1154" s="13" t="s">
        <v>15</v>
      </c>
      <c r="F1154" s="14">
        <v>0.04417824074074074</v>
      </c>
      <c r="G1154" s="21"/>
    </row>
    <row r="1155">
      <c r="A1155" s="4" t="s">
        <v>1068</v>
      </c>
      <c r="B1155" s="10">
        <v>2849034.0</v>
      </c>
      <c r="C1155" s="16" t="s">
        <v>1193</v>
      </c>
      <c r="D1155" s="12" t="s">
        <v>26</v>
      </c>
      <c r="E1155" s="13" t="s">
        <v>15</v>
      </c>
      <c r="F1155" s="14">
        <v>0.034166666666666665</v>
      </c>
      <c r="G1155" s="21"/>
    </row>
    <row r="1156">
      <c r="A1156" s="4" t="s">
        <v>1068</v>
      </c>
      <c r="B1156" s="10">
        <v>2814069.0</v>
      </c>
      <c r="C1156" s="16" t="s">
        <v>1194</v>
      </c>
      <c r="D1156" s="12" t="s">
        <v>26</v>
      </c>
      <c r="E1156" s="13" t="s">
        <v>15</v>
      </c>
      <c r="F1156" s="14">
        <v>0.05243055555555556</v>
      </c>
      <c r="G1156" s="21"/>
    </row>
    <row r="1157">
      <c r="A1157" s="4" t="s">
        <v>1068</v>
      </c>
      <c r="B1157" s="10">
        <v>731739.0</v>
      </c>
      <c r="C1157" s="16" t="s">
        <v>1195</v>
      </c>
      <c r="D1157" s="12" t="s">
        <v>26</v>
      </c>
      <c r="E1157" s="13" t="s">
        <v>15</v>
      </c>
      <c r="F1157" s="14">
        <v>0.04429398148148148</v>
      </c>
      <c r="G1157" s="21"/>
    </row>
    <row r="1158">
      <c r="A1158" s="4" t="s">
        <v>1068</v>
      </c>
      <c r="B1158" s="10">
        <v>645057.0</v>
      </c>
      <c r="C1158" s="16" t="s">
        <v>1196</v>
      </c>
      <c r="D1158" s="12" t="s">
        <v>26</v>
      </c>
      <c r="E1158" s="13" t="s">
        <v>15</v>
      </c>
      <c r="F1158" s="14">
        <v>0.12690972222222222</v>
      </c>
      <c r="G1158" s="21"/>
    </row>
    <row r="1159">
      <c r="A1159" s="4" t="s">
        <v>1068</v>
      </c>
      <c r="B1159" s="10">
        <v>751334.0</v>
      </c>
      <c r="C1159" s="16" t="s">
        <v>1197</v>
      </c>
      <c r="D1159" s="12" t="s">
        <v>26</v>
      </c>
      <c r="E1159" s="13" t="s">
        <v>15</v>
      </c>
      <c r="F1159" s="14">
        <v>0.07280092592592592</v>
      </c>
      <c r="G1159" s="21"/>
    </row>
    <row r="1160">
      <c r="A1160" s="4" t="s">
        <v>1068</v>
      </c>
      <c r="B1160" s="10">
        <v>5016717.0</v>
      </c>
      <c r="C1160" s="16" t="s">
        <v>1198</v>
      </c>
      <c r="D1160" s="12" t="s">
        <v>26</v>
      </c>
      <c r="E1160" s="13" t="s">
        <v>15</v>
      </c>
      <c r="F1160" s="14">
        <v>0.07354166666666667</v>
      </c>
      <c r="G1160" s="21"/>
    </row>
    <row r="1161">
      <c r="A1161" s="4" t="s">
        <v>1068</v>
      </c>
      <c r="B1161" s="10">
        <v>651196.0</v>
      </c>
      <c r="C1161" s="16" t="s">
        <v>1199</v>
      </c>
      <c r="D1161" s="12" t="s">
        <v>26</v>
      </c>
      <c r="E1161" s="13" t="s">
        <v>15</v>
      </c>
      <c r="F1161" s="14">
        <v>0.06048611111111111</v>
      </c>
      <c r="G1161" s="21"/>
    </row>
    <row r="1162">
      <c r="A1162" s="4" t="s">
        <v>1068</v>
      </c>
      <c r="B1162" s="10">
        <v>713394.0</v>
      </c>
      <c r="C1162" s="16" t="s">
        <v>1200</v>
      </c>
      <c r="D1162" s="12" t="s">
        <v>26</v>
      </c>
      <c r="E1162" s="13" t="s">
        <v>15</v>
      </c>
      <c r="F1162" s="14">
        <v>0.10319444444444445</v>
      </c>
      <c r="G1162" s="21"/>
    </row>
    <row r="1163">
      <c r="A1163" s="4" t="s">
        <v>1068</v>
      </c>
      <c r="B1163" s="10">
        <v>802866.0</v>
      </c>
      <c r="C1163" s="16" t="s">
        <v>1201</v>
      </c>
      <c r="D1163" s="12" t="s">
        <v>26</v>
      </c>
      <c r="E1163" s="13" t="s">
        <v>15</v>
      </c>
      <c r="F1163" s="14">
        <v>0.09023148148148148</v>
      </c>
      <c r="G1163" s="21"/>
    </row>
    <row r="1164">
      <c r="A1164" s="4" t="s">
        <v>1068</v>
      </c>
      <c r="B1164" s="10">
        <v>791360.0</v>
      </c>
      <c r="C1164" s="16" t="s">
        <v>1202</v>
      </c>
      <c r="D1164" s="12" t="s">
        <v>26</v>
      </c>
      <c r="E1164" s="13" t="s">
        <v>15</v>
      </c>
      <c r="F1164" s="14">
        <v>0.07833333333333334</v>
      </c>
      <c r="G1164" s="21"/>
    </row>
    <row r="1165">
      <c r="A1165" s="4" t="s">
        <v>1068</v>
      </c>
      <c r="B1165" s="10">
        <v>667384.0</v>
      </c>
      <c r="C1165" s="16" t="s">
        <v>1203</v>
      </c>
      <c r="D1165" s="12" t="s">
        <v>26</v>
      </c>
      <c r="E1165" s="13" t="s">
        <v>15</v>
      </c>
      <c r="F1165" s="14">
        <v>0.056365740740740744</v>
      </c>
      <c r="G1165" s="21"/>
    </row>
    <row r="1166">
      <c r="A1166" s="4" t="s">
        <v>1068</v>
      </c>
      <c r="B1166" s="10">
        <v>731741.0</v>
      </c>
      <c r="C1166" s="16" t="s">
        <v>1204</v>
      </c>
      <c r="D1166" s="12" t="s">
        <v>26</v>
      </c>
      <c r="E1166" s="13" t="s">
        <v>15</v>
      </c>
      <c r="F1166" s="14">
        <v>0.06775462962962962</v>
      </c>
      <c r="G1166" s="21"/>
    </row>
    <row r="1167">
      <c r="A1167" s="4" t="s">
        <v>1068</v>
      </c>
      <c r="B1167" s="10">
        <v>753910.0</v>
      </c>
      <c r="C1167" s="16" t="s">
        <v>1205</v>
      </c>
      <c r="D1167" s="12" t="s">
        <v>26</v>
      </c>
      <c r="E1167" s="13" t="s">
        <v>15</v>
      </c>
      <c r="F1167" s="14">
        <v>0.06539351851851852</v>
      </c>
      <c r="G1167" s="21"/>
    </row>
    <row r="1168">
      <c r="A1168" s="4" t="s">
        <v>1068</v>
      </c>
      <c r="B1168" s="10">
        <v>782139.0</v>
      </c>
      <c r="C1168" s="16" t="s">
        <v>1206</v>
      </c>
      <c r="D1168" s="12" t="s">
        <v>26</v>
      </c>
      <c r="E1168" s="13" t="s">
        <v>15</v>
      </c>
      <c r="F1168" s="14">
        <v>0.0762037037037037</v>
      </c>
      <c r="G1168" s="21"/>
    </row>
    <row r="1169">
      <c r="A1169" s="4" t="s">
        <v>1068</v>
      </c>
      <c r="B1169" s="10">
        <v>5019808.0</v>
      </c>
      <c r="C1169" s="16" t="s">
        <v>1207</v>
      </c>
      <c r="D1169" s="12" t="s">
        <v>26</v>
      </c>
      <c r="E1169" s="13" t="s">
        <v>15</v>
      </c>
      <c r="F1169" s="14">
        <v>0.08498842592592593</v>
      </c>
      <c r="G1169" s="21"/>
    </row>
    <row r="1170">
      <c r="A1170" s="4" t="s">
        <v>1068</v>
      </c>
      <c r="B1170" s="10">
        <v>786421.0</v>
      </c>
      <c r="C1170" s="16" t="s">
        <v>1208</v>
      </c>
      <c r="D1170" s="12" t="s">
        <v>26</v>
      </c>
      <c r="E1170" s="13" t="s">
        <v>15</v>
      </c>
      <c r="F1170" s="14">
        <v>0.024675925925925928</v>
      </c>
      <c r="G1170" s="21"/>
    </row>
    <row r="1171">
      <c r="A1171" s="4" t="s">
        <v>1068</v>
      </c>
      <c r="B1171" s="10">
        <v>765326.0</v>
      </c>
      <c r="C1171" s="16" t="s">
        <v>1209</v>
      </c>
      <c r="D1171" s="12" t="s">
        <v>26</v>
      </c>
      <c r="E1171" s="13" t="s">
        <v>15</v>
      </c>
      <c r="F1171" s="14">
        <v>0.09848379629629629</v>
      </c>
      <c r="G1171" s="21"/>
    </row>
    <row r="1172">
      <c r="A1172" s="4" t="s">
        <v>1068</v>
      </c>
      <c r="B1172" s="10">
        <v>628707.0</v>
      </c>
      <c r="C1172" s="16" t="s">
        <v>1210</v>
      </c>
      <c r="D1172" s="12" t="s">
        <v>26</v>
      </c>
      <c r="E1172" s="13" t="s">
        <v>15</v>
      </c>
      <c r="F1172" s="14">
        <v>0.07211805555555556</v>
      </c>
      <c r="G1172" s="21"/>
    </row>
    <row r="1173">
      <c r="A1173" s="4" t="s">
        <v>1068</v>
      </c>
      <c r="B1173" s="10">
        <v>628706.0</v>
      </c>
      <c r="C1173" s="16" t="s">
        <v>1211</v>
      </c>
      <c r="D1173" s="12" t="s">
        <v>26</v>
      </c>
      <c r="E1173" s="13" t="s">
        <v>15</v>
      </c>
      <c r="F1173" s="14">
        <v>0.059583333333333335</v>
      </c>
      <c r="G1173" s="21"/>
    </row>
    <row r="1174">
      <c r="A1174" s="4" t="s">
        <v>1068</v>
      </c>
      <c r="B1174" s="10">
        <v>5022347.0</v>
      </c>
      <c r="C1174" s="16" t="s">
        <v>1212</v>
      </c>
      <c r="D1174" s="12" t="s">
        <v>26</v>
      </c>
      <c r="E1174" s="13" t="s">
        <v>15</v>
      </c>
      <c r="F1174" s="14">
        <v>0.08908564814814815</v>
      </c>
      <c r="G1174" s="21"/>
    </row>
    <row r="1175">
      <c r="A1175" s="4" t="s">
        <v>1068</v>
      </c>
      <c r="B1175" s="10">
        <v>5040395.0</v>
      </c>
      <c r="C1175" s="16" t="s">
        <v>809</v>
      </c>
      <c r="D1175" s="12" t="s">
        <v>26</v>
      </c>
      <c r="E1175" s="13" t="s">
        <v>15</v>
      </c>
      <c r="F1175" s="14">
        <v>0.04645833333333333</v>
      </c>
      <c r="G1175" s="21"/>
    </row>
    <row r="1176">
      <c r="A1176" s="4" t="s">
        <v>1068</v>
      </c>
      <c r="B1176" s="10">
        <v>2824427.0</v>
      </c>
      <c r="C1176" s="16" t="s">
        <v>1213</v>
      </c>
      <c r="D1176" s="12" t="s">
        <v>26</v>
      </c>
      <c r="E1176" s="13" t="s">
        <v>15</v>
      </c>
      <c r="F1176" s="14">
        <v>0.03350694444444444</v>
      </c>
      <c r="G1176" s="21"/>
    </row>
    <row r="1177">
      <c r="A1177" s="4" t="s">
        <v>1068</v>
      </c>
      <c r="B1177" s="10">
        <v>704144.0</v>
      </c>
      <c r="C1177" s="16" t="s">
        <v>1214</v>
      </c>
      <c r="D1177" s="12" t="s">
        <v>26</v>
      </c>
      <c r="E1177" s="13" t="s">
        <v>15</v>
      </c>
      <c r="F1177" s="14">
        <v>0.03881944444444444</v>
      </c>
      <c r="G1177" s="21"/>
    </row>
    <row r="1178">
      <c r="A1178" s="4" t="s">
        <v>1068</v>
      </c>
      <c r="B1178" s="10">
        <v>2828008.0</v>
      </c>
      <c r="C1178" s="16" t="s">
        <v>1215</v>
      </c>
      <c r="D1178" s="12" t="s">
        <v>26</v>
      </c>
      <c r="E1178" s="13" t="s">
        <v>15</v>
      </c>
      <c r="F1178" s="14">
        <v>0.09913194444444444</v>
      </c>
      <c r="G1178" s="21"/>
    </row>
    <row r="1179">
      <c r="A1179" s="4" t="s">
        <v>1068</v>
      </c>
      <c r="B1179" s="10">
        <v>2878184.0</v>
      </c>
      <c r="C1179" s="16" t="s">
        <v>979</v>
      </c>
      <c r="D1179" s="12" t="s">
        <v>26</v>
      </c>
      <c r="E1179" s="13" t="s">
        <v>15</v>
      </c>
      <c r="F1179" s="14">
        <v>0.056851851851851855</v>
      </c>
      <c r="G1179" s="21"/>
    </row>
    <row r="1180">
      <c r="A1180" s="4" t="s">
        <v>1068</v>
      </c>
      <c r="B1180" s="10">
        <v>2881150.0</v>
      </c>
      <c r="C1180" s="16" t="s">
        <v>1216</v>
      </c>
      <c r="D1180" s="12" t="s">
        <v>26</v>
      </c>
      <c r="E1180" s="13" t="s">
        <v>15</v>
      </c>
      <c r="F1180" s="14">
        <v>0.05358796296296296</v>
      </c>
      <c r="G1180" s="21"/>
    </row>
    <row r="1181">
      <c r="A1181" s="4" t="s">
        <v>1068</v>
      </c>
      <c r="B1181" s="10">
        <v>2886048.0</v>
      </c>
      <c r="C1181" s="16" t="s">
        <v>1217</v>
      </c>
      <c r="D1181" s="12" t="s">
        <v>26</v>
      </c>
      <c r="E1181" s="13" t="s">
        <v>15</v>
      </c>
      <c r="F1181" s="14">
        <v>0.09599537037037037</v>
      </c>
      <c r="G1181" s="21"/>
    </row>
    <row r="1182">
      <c r="A1182" s="4" t="s">
        <v>1068</v>
      </c>
      <c r="B1182" s="10">
        <v>2880138.0</v>
      </c>
      <c r="C1182" s="16" t="s">
        <v>1218</v>
      </c>
      <c r="D1182" s="12" t="s">
        <v>26</v>
      </c>
      <c r="E1182" s="13" t="s">
        <v>15</v>
      </c>
      <c r="F1182" s="14">
        <v>0.07435185185185185</v>
      </c>
      <c r="G1182" s="21"/>
    </row>
    <row r="1183">
      <c r="A1183" s="4" t="s">
        <v>1068</v>
      </c>
      <c r="B1183" s="10">
        <v>751330.0</v>
      </c>
      <c r="C1183" s="16" t="s">
        <v>1219</v>
      </c>
      <c r="D1183" s="12" t="s">
        <v>26</v>
      </c>
      <c r="E1183" s="13" t="s">
        <v>109</v>
      </c>
      <c r="F1183" s="14">
        <v>0.11252314814814815</v>
      </c>
      <c r="G1183" s="31"/>
    </row>
    <row r="1184">
      <c r="A1184" s="4" t="s">
        <v>1068</v>
      </c>
      <c r="B1184" s="10">
        <v>2822405.0</v>
      </c>
      <c r="C1184" s="16" t="s">
        <v>1220</v>
      </c>
      <c r="D1184" s="12" t="s">
        <v>26</v>
      </c>
      <c r="E1184" s="13" t="s">
        <v>109</v>
      </c>
      <c r="F1184" s="14">
        <v>0.0934837962962963</v>
      </c>
      <c r="G1184" s="31"/>
    </row>
    <row r="1185">
      <c r="A1185" s="4" t="s">
        <v>1068</v>
      </c>
      <c r="B1185" s="10">
        <v>2834021.0</v>
      </c>
      <c r="C1185" s="16" t="s">
        <v>1221</v>
      </c>
      <c r="D1185" s="12" t="s">
        <v>26</v>
      </c>
      <c r="E1185" s="13" t="s">
        <v>109</v>
      </c>
      <c r="F1185" s="14">
        <v>0.05327546296296296</v>
      </c>
      <c r="G1185" s="31"/>
    </row>
    <row r="1186">
      <c r="A1186" s="4" t="s">
        <v>1068</v>
      </c>
      <c r="B1186" s="10">
        <v>3008694.0</v>
      </c>
      <c r="C1186" s="16" t="s">
        <v>798</v>
      </c>
      <c r="D1186" s="12" t="s">
        <v>26</v>
      </c>
      <c r="E1186" s="13" t="s">
        <v>26</v>
      </c>
      <c r="F1186" s="14">
        <v>0.06495370370370371</v>
      </c>
      <c r="G1186" s="31"/>
    </row>
    <row r="1187">
      <c r="A1187" s="4" t="s">
        <v>1068</v>
      </c>
      <c r="B1187" s="10">
        <v>3157769.0</v>
      </c>
      <c r="C1187" s="16" t="s">
        <v>1222</v>
      </c>
      <c r="D1187" s="12" t="s">
        <v>26</v>
      </c>
      <c r="E1187" s="13" t="s">
        <v>26</v>
      </c>
      <c r="F1187" s="14">
        <v>0.16159722222222223</v>
      </c>
      <c r="G1187" s="31"/>
    </row>
    <row r="1188">
      <c r="A1188" s="4" t="s">
        <v>1068</v>
      </c>
      <c r="B1188" s="10">
        <v>3107157.0</v>
      </c>
      <c r="C1188" s="16" t="s">
        <v>1223</v>
      </c>
      <c r="D1188" s="12" t="s">
        <v>26</v>
      </c>
      <c r="E1188" s="13" t="s">
        <v>26</v>
      </c>
      <c r="F1188" s="14">
        <v>0.01835648148148148</v>
      </c>
      <c r="G1188" s="31"/>
    </row>
    <row r="1189">
      <c r="A1189" s="4" t="s">
        <v>1068</v>
      </c>
      <c r="B1189" s="10">
        <v>2891048.0</v>
      </c>
      <c r="C1189" s="16" t="s">
        <v>1224</v>
      </c>
      <c r="D1189" s="12" t="s">
        <v>26</v>
      </c>
      <c r="E1189" s="13" t="s">
        <v>26</v>
      </c>
      <c r="F1189" s="14">
        <v>0.01775462962962963</v>
      </c>
      <c r="G1189" s="21"/>
    </row>
    <row r="1190">
      <c r="A1190" s="4" t="s">
        <v>1068</v>
      </c>
      <c r="B1190" s="10">
        <v>2884096.0</v>
      </c>
      <c r="C1190" s="16" t="s">
        <v>1225</v>
      </c>
      <c r="D1190" s="12" t="s">
        <v>26</v>
      </c>
      <c r="E1190" s="13" t="s">
        <v>26</v>
      </c>
      <c r="F1190" s="14">
        <v>0.025636574074074076</v>
      </c>
      <c r="G1190" s="21"/>
    </row>
    <row r="1191">
      <c r="A1191" s="4" t="s">
        <v>1068</v>
      </c>
      <c r="B1191" s="10">
        <v>2898245.0</v>
      </c>
      <c r="C1191" s="16" t="s">
        <v>1226</v>
      </c>
      <c r="D1191" s="12" t="s">
        <v>26</v>
      </c>
      <c r="E1191" s="13" t="s">
        <v>26</v>
      </c>
      <c r="F1191" s="14">
        <v>0.02068287037037037</v>
      </c>
      <c r="G1191" s="21"/>
    </row>
    <row r="1192">
      <c r="A1192" s="4" t="s">
        <v>1227</v>
      </c>
      <c r="B1192" s="5" t="s">
        <v>8</v>
      </c>
      <c r="C1192" s="6" t="s">
        <v>9</v>
      </c>
      <c r="D1192" s="7" t="s">
        <v>3</v>
      </c>
      <c r="E1192" s="7" t="s">
        <v>10</v>
      </c>
      <c r="F1192" s="8" t="s">
        <v>11</v>
      </c>
      <c r="G1192" s="9" t="s">
        <v>12</v>
      </c>
    </row>
    <row r="1193">
      <c r="A1193" s="23" t="s">
        <v>1227</v>
      </c>
      <c r="B1193" s="24">
        <v>608995.0</v>
      </c>
      <c r="C1193" s="25" t="s">
        <v>1228</v>
      </c>
      <c r="D1193" s="26" t="s">
        <v>14</v>
      </c>
      <c r="E1193" s="27" t="s">
        <v>26</v>
      </c>
      <c r="F1193" s="28">
        <v>0.04290509259259259</v>
      </c>
      <c r="G1193" s="17" t="s">
        <v>1229</v>
      </c>
    </row>
    <row r="1194">
      <c r="A1194" s="4" t="s">
        <v>1227</v>
      </c>
      <c r="B1194" s="10">
        <v>585010.0</v>
      </c>
      <c r="C1194" s="16" t="s">
        <v>586</v>
      </c>
      <c r="D1194" s="12" t="s">
        <v>14</v>
      </c>
      <c r="E1194" s="13" t="s">
        <v>19</v>
      </c>
      <c r="F1194" s="14">
        <v>0.0635300925925926</v>
      </c>
      <c r="G1194" s="15" t="s">
        <v>1230</v>
      </c>
    </row>
    <row r="1195">
      <c r="A1195" s="4" t="s">
        <v>1227</v>
      </c>
      <c r="B1195" s="10">
        <v>5015872.0</v>
      </c>
      <c r="C1195" s="16" t="s">
        <v>590</v>
      </c>
      <c r="D1195" s="12" t="s">
        <v>14</v>
      </c>
      <c r="E1195" s="13" t="s">
        <v>15</v>
      </c>
      <c r="F1195" s="14">
        <v>0.012939814814814815</v>
      </c>
      <c r="G1195" s="15" t="s">
        <v>1231</v>
      </c>
    </row>
    <row r="1196">
      <c r="A1196" s="4" t="s">
        <v>1227</v>
      </c>
      <c r="B1196" s="10">
        <v>431182.0</v>
      </c>
      <c r="C1196" s="16" t="s">
        <v>1232</v>
      </c>
      <c r="D1196" s="12" t="s">
        <v>14</v>
      </c>
      <c r="E1196" s="13" t="s">
        <v>15</v>
      </c>
      <c r="F1196" s="14">
        <v>0.03908564814814815</v>
      </c>
      <c r="G1196" s="15" t="s">
        <v>1233</v>
      </c>
    </row>
    <row r="1197">
      <c r="A1197" s="4" t="s">
        <v>1227</v>
      </c>
      <c r="B1197" s="10">
        <v>689761.0</v>
      </c>
      <c r="C1197" s="16" t="s">
        <v>108</v>
      </c>
      <c r="D1197" s="12" t="s">
        <v>14</v>
      </c>
      <c r="E1197" s="13" t="s">
        <v>109</v>
      </c>
      <c r="F1197" s="14">
        <v>0.03929398148148148</v>
      </c>
      <c r="G1197" s="15" t="s">
        <v>1234</v>
      </c>
    </row>
    <row r="1198">
      <c r="A1198" s="4" t="s">
        <v>1227</v>
      </c>
      <c r="B1198" s="10">
        <v>758617.0</v>
      </c>
      <c r="C1198" s="16" t="s">
        <v>1227</v>
      </c>
      <c r="D1198" s="12" t="s">
        <v>14</v>
      </c>
      <c r="E1198" s="13" t="s">
        <v>109</v>
      </c>
      <c r="F1198" s="14">
        <v>0.05005787037037037</v>
      </c>
      <c r="G1198" s="15" t="s">
        <v>114</v>
      </c>
    </row>
    <row r="1199">
      <c r="A1199" s="4" t="s">
        <v>1227</v>
      </c>
      <c r="B1199" s="10">
        <v>772319.0</v>
      </c>
      <c r="C1199" s="16" t="s">
        <v>1092</v>
      </c>
      <c r="D1199" s="12" t="s">
        <v>14</v>
      </c>
      <c r="E1199" s="13" t="s">
        <v>109</v>
      </c>
      <c r="F1199" s="14">
        <v>0.027523148148148147</v>
      </c>
      <c r="G1199" s="15" t="s">
        <v>1235</v>
      </c>
    </row>
    <row r="1200">
      <c r="A1200" s="4" t="s">
        <v>1227</v>
      </c>
      <c r="B1200" s="10">
        <v>2806194.0</v>
      </c>
      <c r="C1200" s="16" t="s">
        <v>1236</v>
      </c>
      <c r="D1200" s="12" t="s">
        <v>14</v>
      </c>
      <c r="E1200" s="13" t="s">
        <v>109</v>
      </c>
      <c r="F1200" s="14">
        <v>0.040150462962962964</v>
      </c>
      <c r="G1200" s="21"/>
    </row>
    <row r="1201">
      <c r="A1201" s="4" t="s">
        <v>1227</v>
      </c>
      <c r="B1201" s="10">
        <v>2811712.0</v>
      </c>
      <c r="C1201" s="16" t="s">
        <v>115</v>
      </c>
      <c r="D1201" s="12" t="s">
        <v>14</v>
      </c>
      <c r="E1201" s="13" t="s">
        <v>26</v>
      </c>
      <c r="F1201" s="14">
        <v>0.013125</v>
      </c>
      <c r="G1201" s="21"/>
    </row>
    <row r="1202">
      <c r="A1202" s="4" t="s">
        <v>1227</v>
      </c>
      <c r="B1202" s="10">
        <v>2241053.0</v>
      </c>
      <c r="C1202" s="16" t="s">
        <v>1237</v>
      </c>
      <c r="D1202" s="12" t="s">
        <v>14</v>
      </c>
      <c r="E1202" s="13" t="s">
        <v>26</v>
      </c>
      <c r="F1202" s="14">
        <v>0.009641203703703704</v>
      </c>
      <c r="G1202" s="21"/>
    </row>
    <row r="1203">
      <c r="A1203" s="4" t="s">
        <v>1227</v>
      </c>
      <c r="B1203" s="10">
        <v>2833088.0</v>
      </c>
      <c r="C1203" s="16" t="s">
        <v>1238</v>
      </c>
      <c r="D1203" s="12" t="s">
        <v>18</v>
      </c>
      <c r="E1203" s="13" t="s">
        <v>109</v>
      </c>
      <c r="F1203" s="14">
        <v>0.02144675925925926</v>
      </c>
      <c r="G1203" s="21"/>
    </row>
    <row r="1204">
      <c r="A1204" s="4" t="s">
        <v>1227</v>
      </c>
      <c r="B1204" s="10">
        <v>2881200.0</v>
      </c>
      <c r="C1204" s="16" t="s">
        <v>119</v>
      </c>
      <c r="D1204" s="12" t="s">
        <v>18</v>
      </c>
      <c r="E1204" s="13" t="s">
        <v>109</v>
      </c>
      <c r="F1204" s="14">
        <v>0.02181712962962963</v>
      </c>
      <c r="G1204" s="21"/>
    </row>
    <row r="1205">
      <c r="A1205" s="4" t="s">
        <v>1227</v>
      </c>
      <c r="B1205" s="10">
        <v>2426605.0</v>
      </c>
      <c r="C1205" s="16" t="s">
        <v>1239</v>
      </c>
      <c r="D1205" s="12" t="s">
        <v>18</v>
      </c>
      <c r="E1205" s="13" t="s">
        <v>38</v>
      </c>
      <c r="F1205" s="14">
        <v>0.008287037037037037</v>
      </c>
      <c r="G1205" s="21"/>
    </row>
    <row r="1206">
      <c r="A1206" s="4" t="s">
        <v>1227</v>
      </c>
      <c r="B1206" s="10">
        <v>2819181.0</v>
      </c>
      <c r="C1206" s="16" t="s">
        <v>1240</v>
      </c>
      <c r="D1206" s="12" t="s">
        <v>18</v>
      </c>
      <c r="E1206" s="13" t="s">
        <v>38</v>
      </c>
      <c r="F1206" s="14">
        <v>0.022650462962962963</v>
      </c>
      <c r="G1206" s="21"/>
    </row>
    <row r="1207">
      <c r="A1207" s="4" t="s">
        <v>1227</v>
      </c>
      <c r="B1207" s="10">
        <v>370569.0</v>
      </c>
      <c r="C1207" s="16" t="s">
        <v>300</v>
      </c>
      <c r="D1207" s="12" t="s">
        <v>18</v>
      </c>
      <c r="E1207" s="13" t="s">
        <v>26</v>
      </c>
      <c r="F1207" s="14">
        <v>0.052569444444444446</v>
      </c>
      <c r="G1207" s="21"/>
    </row>
    <row r="1208">
      <c r="A1208" s="4" t="s">
        <v>1227</v>
      </c>
      <c r="B1208" s="10">
        <v>2242045.0</v>
      </c>
      <c r="C1208" s="16" t="s">
        <v>1241</v>
      </c>
      <c r="D1208" s="12" t="s">
        <v>18</v>
      </c>
      <c r="E1208" s="13" t="s">
        <v>26</v>
      </c>
      <c r="F1208" s="14">
        <v>0.005138888888888889</v>
      </c>
      <c r="G1208" s="21"/>
    </row>
    <row r="1209">
      <c r="A1209" s="4" t="s">
        <v>1227</v>
      </c>
      <c r="B1209" s="10">
        <v>2813223.0</v>
      </c>
      <c r="C1209" s="16" t="s">
        <v>597</v>
      </c>
      <c r="D1209" s="12" t="s">
        <v>18</v>
      </c>
      <c r="E1209" s="13" t="s">
        <v>26</v>
      </c>
      <c r="F1209" s="14">
        <v>0.05261574074074074</v>
      </c>
      <c r="G1209" s="21"/>
    </row>
    <row r="1210">
      <c r="A1210" s="4" t="s">
        <v>1227</v>
      </c>
      <c r="B1210" s="10">
        <v>2300012.0</v>
      </c>
      <c r="C1210" s="16" t="s">
        <v>1242</v>
      </c>
      <c r="D1210" s="12" t="s">
        <v>18</v>
      </c>
      <c r="E1210" s="13" t="s">
        <v>26</v>
      </c>
      <c r="F1210" s="14">
        <v>0.011770833333333333</v>
      </c>
      <c r="G1210" s="21"/>
    </row>
    <row r="1211">
      <c r="A1211" s="4" t="s">
        <v>1227</v>
      </c>
      <c r="B1211" s="10">
        <v>5010646.0</v>
      </c>
      <c r="C1211" s="16" t="s">
        <v>29</v>
      </c>
      <c r="D1211" s="12" t="s">
        <v>18</v>
      </c>
      <c r="E1211" s="13" t="s">
        <v>15</v>
      </c>
      <c r="F1211" s="14">
        <v>0.02980324074074074</v>
      </c>
      <c r="G1211" s="21"/>
    </row>
    <row r="1212">
      <c r="A1212" s="4" t="s">
        <v>1227</v>
      </c>
      <c r="B1212" s="10">
        <v>520220.0</v>
      </c>
      <c r="C1212" s="16" t="s">
        <v>120</v>
      </c>
      <c r="D1212" s="12" t="s">
        <v>18</v>
      </c>
      <c r="E1212" s="13" t="s">
        <v>15</v>
      </c>
      <c r="F1212" s="14">
        <v>0.03736111111111111</v>
      </c>
      <c r="G1212" s="21"/>
    </row>
    <row r="1213">
      <c r="A1213" s="4" t="s">
        <v>1227</v>
      </c>
      <c r="B1213" s="10">
        <v>580624.0</v>
      </c>
      <c r="C1213" s="16" t="s">
        <v>121</v>
      </c>
      <c r="D1213" s="12" t="s">
        <v>18</v>
      </c>
      <c r="E1213" s="13" t="s">
        <v>15</v>
      </c>
      <c r="F1213" s="14">
        <v>0.03596064814814815</v>
      </c>
      <c r="G1213" s="21"/>
    </row>
    <row r="1214">
      <c r="A1214" s="4" t="s">
        <v>1227</v>
      </c>
      <c r="B1214" s="10">
        <v>2813183.0</v>
      </c>
      <c r="C1214" s="16" t="s">
        <v>1243</v>
      </c>
      <c r="D1214" s="12" t="s">
        <v>18</v>
      </c>
      <c r="E1214" s="13" t="s">
        <v>15</v>
      </c>
      <c r="F1214" s="14">
        <v>0.03140046296296296</v>
      </c>
      <c r="G1214" s="21"/>
    </row>
    <row r="1215">
      <c r="A1215" s="4" t="s">
        <v>1227</v>
      </c>
      <c r="B1215" s="10">
        <v>2876230.0</v>
      </c>
      <c r="C1215" s="16" t="s">
        <v>1244</v>
      </c>
      <c r="D1215" s="12" t="s">
        <v>18</v>
      </c>
      <c r="E1215" s="13" t="s">
        <v>15</v>
      </c>
      <c r="F1215" s="14">
        <v>0.017708333333333333</v>
      </c>
      <c r="G1215" s="21"/>
    </row>
    <row r="1216">
      <c r="A1216" s="4" t="s">
        <v>1227</v>
      </c>
      <c r="B1216" s="10">
        <v>2869096.0</v>
      </c>
      <c r="C1216" s="16" t="s">
        <v>1245</v>
      </c>
      <c r="D1216" s="12" t="s">
        <v>18</v>
      </c>
      <c r="E1216" s="13" t="s">
        <v>15</v>
      </c>
      <c r="F1216" s="14">
        <v>0.026006944444444444</v>
      </c>
      <c r="G1216" s="21"/>
    </row>
    <row r="1217">
      <c r="A1217" s="4" t="s">
        <v>1227</v>
      </c>
      <c r="B1217" s="10">
        <v>5015873.0</v>
      </c>
      <c r="C1217" s="16" t="s">
        <v>644</v>
      </c>
      <c r="D1217" s="12" t="s">
        <v>18</v>
      </c>
      <c r="E1217" s="13" t="s">
        <v>15</v>
      </c>
      <c r="F1217" s="14">
        <v>0.0096875</v>
      </c>
      <c r="G1217" s="21"/>
    </row>
    <row r="1218">
      <c r="A1218" s="4" t="s">
        <v>1227</v>
      </c>
      <c r="B1218" s="10">
        <v>2890106.0</v>
      </c>
      <c r="C1218" s="16" t="s">
        <v>1246</v>
      </c>
      <c r="D1218" s="12" t="s">
        <v>18</v>
      </c>
      <c r="E1218" s="13" t="s">
        <v>15</v>
      </c>
      <c r="F1218" s="14">
        <v>0.021805555555555557</v>
      </c>
      <c r="G1218" s="21"/>
    </row>
    <row r="1219">
      <c r="A1219" s="4" t="s">
        <v>1227</v>
      </c>
      <c r="B1219" s="10">
        <v>2825404.0</v>
      </c>
      <c r="C1219" s="16" t="s">
        <v>1247</v>
      </c>
      <c r="D1219" s="12" t="s">
        <v>34</v>
      </c>
      <c r="E1219" s="13" t="s">
        <v>38</v>
      </c>
      <c r="F1219" s="14">
        <v>0.036863425925925924</v>
      </c>
      <c r="G1219" s="21"/>
    </row>
    <row r="1220">
      <c r="A1220" s="4" t="s">
        <v>1227</v>
      </c>
      <c r="B1220" s="10">
        <v>2875338.0</v>
      </c>
      <c r="C1220" s="16" t="s">
        <v>1248</v>
      </c>
      <c r="D1220" s="12" t="s">
        <v>34</v>
      </c>
      <c r="E1220" s="13" t="s">
        <v>38</v>
      </c>
      <c r="F1220" s="14">
        <v>0.04016203703703704</v>
      </c>
      <c r="G1220" s="21"/>
    </row>
    <row r="1221">
      <c r="A1221" s="4" t="s">
        <v>1227</v>
      </c>
      <c r="B1221" s="10">
        <v>2835013.0</v>
      </c>
      <c r="C1221" s="16" t="s">
        <v>1249</v>
      </c>
      <c r="D1221" s="12" t="s">
        <v>34</v>
      </c>
      <c r="E1221" s="13" t="s">
        <v>19</v>
      </c>
      <c r="F1221" s="14">
        <v>0.038657407407407404</v>
      </c>
      <c r="G1221" s="21"/>
    </row>
    <row r="1222">
      <c r="A1222" s="4" t="s">
        <v>1227</v>
      </c>
      <c r="B1222" s="10">
        <v>2809355.0</v>
      </c>
      <c r="C1222" s="16" t="s">
        <v>317</v>
      </c>
      <c r="D1222" s="12" t="s">
        <v>34</v>
      </c>
      <c r="E1222" s="13" t="s">
        <v>26</v>
      </c>
      <c r="F1222" s="14">
        <v>0.02738425925925926</v>
      </c>
      <c r="G1222" s="21"/>
    </row>
    <row r="1223">
      <c r="A1223" s="4" t="s">
        <v>1227</v>
      </c>
      <c r="B1223" s="10">
        <v>5022327.0</v>
      </c>
      <c r="C1223" s="11" t="s">
        <v>125</v>
      </c>
      <c r="D1223" s="12" t="s">
        <v>34</v>
      </c>
      <c r="E1223" s="13" t="s">
        <v>15</v>
      </c>
      <c r="F1223" s="14">
        <v>0.014861111111111111</v>
      </c>
      <c r="G1223" s="21"/>
    </row>
    <row r="1224">
      <c r="A1224" s="4" t="s">
        <v>1227</v>
      </c>
      <c r="B1224" s="10">
        <v>711796.0</v>
      </c>
      <c r="C1224" s="16" t="s">
        <v>123</v>
      </c>
      <c r="D1224" s="12" t="s">
        <v>34</v>
      </c>
      <c r="E1224" s="13" t="s">
        <v>15</v>
      </c>
      <c r="F1224" s="14">
        <v>0.05744212962962963</v>
      </c>
      <c r="G1224" s="21"/>
    </row>
    <row r="1225">
      <c r="A1225" s="4" t="s">
        <v>1227</v>
      </c>
      <c r="B1225" s="10">
        <v>2875378.0</v>
      </c>
      <c r="C1225" s="16" t="s">
        <v>1250</v>
      </c>
      <c r="D1225" s="12" t="s">
        <v>34</v>
      </c>
      <c r="E1225" s="13" t="s">
        <v>15</v>
      </c>
      <c r="F1225" s="14">
        <v>0.024212962962962964</v>
      </c>
      <c r="G1225" s="21"/>
    </row>
    <row r="1226">
      <c r="A1226" s="4" t="s">
        <v>1227</v>
      </c>
      <c r="B1226" s="10">
        <v>2894117.0</v>
      </c>
      <c r="C1226" s="16" t="s">
        <v>1251</v>
      </c>
      <c r="D1226" s="12" t="s">
        <v>34</v>
      </c>
      <c r="E1226" s="13" t="s">
        <v>15</v>
      </c>
      <c r="F1226" s="14">
        <v>0.011585648148148149</v>
      </c>
      <c r="G1226" s="21"/>
    </row>
    <row r="1227">
      <c r="A1227" s="4" t="s">
        <v>1227</v>
      </c>
      <c r="B1227" s="10">
        <v>718628.0</v>
      </c>
      <c r="C1227" s="16" t="s">
        <v>151</v>
      </c>
      <c r="D1227" s="12" t="s">
        <v>26</v>
      </c>
      <c r="E1227" s="13" t="s">
        <v>26</v>
      </c>
      <c r="F1227" s="14">
        <v>0.0409375</v>
      </c>
      <c r="G1227" s="21"/>
    </row>
    <row r="1228">
      <c r="A1228" s="4" t="s">
        <v>1227</v>
      </c>
      <c r="B1228" s="10">
        <v>661751.0</v>
      </c>
      <c r="C1228" s="16" t="s">
        <v>39</v>
      </c>
      <c r="D1228" s="12" t="s">
        <v>26</v>
      </c>
      <c r="E1228" s="13" t="s">
        <v>38</v>
      </c>
      <c r="F1228" s="14">
        <v>0.021296296296296296</v>
      </c>
      <c r="G1228" s="21"/>
    </row>
    <row r="1229">
      <c r="A1229" s="4" t="s">
        <v>1227</v>
      </c>
      <c r="B1229" s="10">
        <v>5015862.0</v>
      </c>
      <c r="C1229" s="16" t="s">
        <v>152</v>
      </c>
      <c r="D1229" s="12" t="s">
        <v>26</v>
      </c>
      <c r="E1229" s="13" t="s">
        <v>26</v>
      </c>
      <c r="F1229" s="14">
        <v>0.009872685185185186</v>
      </c>
      <c r="G1229" s="21"/>
    </row>
    <row r="1230">
      <c r="A1230" s="4" t="s">
        <v>1227</v>
      </c>
      <c r="B1230" s="10">
        <v>2807858.0</v>
      </c>
      <c r="C1230" s="16" t="s">
        <v>331</v>
      </c>
      <c r="D1230" s="12" t="s">
        <v>26</v>
      </c>
      <c r="E1230" s="13" t="s">
        <v>38</v>
      </c>
      <c r="F1230" s="14">
        <v>0.011689814814814814</v>
      </c>
      <c r="G1230" s="21"/>
    </row>
    <row r="1231">
      <c r="A1231" s="4" t="s">
        <v>1227</v>
      </c>
      <c r="B1231" s="10">
        <v>2810166.0</v>
      </c>
      <c r="C1231" s="16" t="s">
        <v>1252</v>
      </c>
      <c r="D1231" s="12" t="s">
        <v>26</v>
      </c>
      <c r="E1231" s="13" t="s">
        <v>38</v>
      </c>
      <c r="F1231" s="14">
        <v>0.015532407407407408</v>
      </c>
      <c r="G1231" s="21"/>
    </row>
    <row r="1232">
      <c r="A1232" s="4" t="s">
        <v>1227</v>
      </c>
      <c r="B1232" s="10">
        <v>2825405.0</v>
      </c>
      <c r="C1232" s="16" t="s">
        <v>1253</v>
      </c>
      <c r="D1232" s="12" t="s">
        <v>26</v>
      </c>
      <c r="E1232" s="13" t="s">
        <v>38</v>
      </c>
      <c r="F1232" s="14">
        <v>0.046689814814814816</v>
      </c>
      <c r="G1232" s="21"/>
    </row>
    <row r="1233">
      <c r="A1233" s="4" t="s">
        <v>1227</v>
      </c>
      <c r="B1233" s="10">
        <v>2848273.0</v>
      </c>
      <c r="C1233" s="16" t="s">
        <v>1254</v>
      </c>
      <c r="D1233" s="12" t="s">
        <v>26</v>
      </c>
      <c r="E1233" s="13" t="s">
        <v>38</v>
      </c>
      <c r="F1233" s="14">
        <v>0.017395833333333333</v>
      </c>
      <c r="G1233" s="21"/>
    </row>
    <row r="1234">
      <c r="A1234" s="4" t="s">
        <v>1227</v>
      </c>
      <c r="B1234" s="10">
        <v>2893008.0</v>
      </c>
      <c r="C1234" s="16" t="s">
        <v>1038</v>
      </c>
      <c r="D1234" s="12" t="s">
        <v>26</v>
      </c>
      <c r="E1234" s="13" t="s">
        <v>38</v>
      </c>
      <c r="F1234" s="14">
        <v>0.04299768518518519</v>
      </c>
      <c r="G1234" s="21"/>
    </row>
    <row r="1235">
      <c r="A1235" s="4" t="s">
        <v>1227</v>
      </c>
      <c r="B1235" s="10">
        <v>2877283.0</v>
      </c>
      <c r="C1235" s="16" t="s">
        <v>1255</v>
      </c>
      <c r="D1235" s="12" t="s">
        <v>26</v>
      </c>
      <c r="E1235" s="13" t="s">
        <v>38</v>
      </c>
      <c r="F1235" s="14">
        <v>0.013217592592592593</v>
      </c>
      <c r="G1235" s="21"/>
    </row>
    <row r="1236">
      <c r="A1236" s="4" t="s">
        <v>1227</v>
      </c>
      <c r="B1236" s="10">
        <v>2893113.0</v>
      </c>
      <c r="C1236" s="16" t="s">
        <v>1256</v>
      </c>
      <c r="D1236" s="12" t="s">
        <v>26</v>
      </c>
      <c r="E1236" s="13" t="s">
        <v>38</v>
      </c>
      <c r="F1236" s="14">
        <v>0.010532407407407407</v>
      </c>
      <c r="G1236" s="21"/>
    </row>
    <row r="1237">
      <c r="A1237" s="4" t="s">
        <v>1227</v>
      </c>
      <c r="B1237" s="10">
        <v>2422661.0</v>
      </c>
      <c r="C1237" s="16" t="s">
        <v>1257</v>
      </c>
      <c r="D1237" s="12" t="s">
        <v>26</v>
      </c>
      <c r="E1237" s="13" t="s">
        <v>38</v>
      </c>
      <c r="F1237" s="14">
        <v>0.037175925925925925</v>
      </c>
      <c r="G1237" s="21"/>
    </row>
    <row r="1238">
      <c r="A1238" s="4" t="s">
        <v>1227</v>
      </c>
      <c r="B1238" s="10">
        <v>3013036.0</v>
      </c>
      <c r="C1238" s="16" t="s">
        <v>1258</v>
      </c>
      <c r="D1238" s="12" t="s">
        <v>26</v>
      </c>
      <c r="E1238" s="13" t="s">
        <v>38</v>
      </c>
      <c r="F1238" s="14">
        <v>0.03803240740740741</v>
      </c>
      <c r="G1238" s="21"/>
    </row>
    <row r="1239">
      <c r="A1239" s="4" t="s">
        <v>1227</v>
      </c>
      <c r="B1239" s="10">
        <v>3008555.0</v>
      </c>
      <c r="C1239" s="16" t="s">
        <v>1259</v>
      </c>
      <c r="D1239" s="12" t="s">
        <v>26</v>
      </c>
      <c r="E1239" s="13" t="s">
        <v>38</v>
      </c>
      <c r="F1239" s="14">
        <v>0.04612268518518518</v>
      </c>
      <c r="G1239" s="21"/>
    </row>
    <row r="1240">
      <c r="A1240" s="4" t="s">
        <v>1227</v>
      </c>
      <c r="B1240" s="10">
        <v>2815033.0</v>
      </c>
      <c r="C1240" s="16" t="s">
        <v>418</v>
      </c>
      <c r="D1240" s="12" t="s">
        <v>26</v>
      </c>
      <c r="E1240" s="13" t="s">
        <v>19</v>
      </c>
      <c r="F1240" s="14">
        <v>0.05185185185185185</v>
      </c>
      <c r="G1240" s="21"/>
    </row>
    <row r="1241">
      <c r="A1241" s="4" t="s">
        <v>1227</v>
      </c>
      <c r="B1241" s="10">
        <v>2808538.0</v>
      </c>
      <c r="C1241" s="16" t="s">
        <v>1260</v>
      </c>
      <c r="D1241" s="12" t="s">
        <v>26</v>
      </c>
      <c r="E1241" s="13" t="s">
        <v>19</v>
      </c>
      <c r="F1241" s="14">
        <v>0.0424537037037037</v>
      </c>
      <c r="G1241" s="21"/>
    </row>
    <row r="1242">
      <c r="A1242" s="4" t="s">
        <v>1227</v>
      </c>
      <c r="B1242" s="10">
        <v>659269.0</v>
      </c>
      <c r="C1242" s="16" t="s">
        <v>149</v>
      </c>
      <c r="D1242" s="12" t="s">
        <v>26</v>
      </c>
      <c r="E1242" s="13" t="s">
        <v>19</v>
      </c>
      <c r="F1242" s="14">
        <v>0.04026620370370371</v>
      </c>
      <c r="G1242" s="21"/>
    </row>
    <row r="1243">
      <c r="A1243" s="4" t="s">
        <v>1227</v>
      </c>
      <c r="B1243" s="10">
        <v>699331.0</v>
      </c>
      <c r="C1243" s="16" t="s">
        <v>158</v>
      </c>
      <c r="D1243" s="12" t="s">
        <v>26</v>
      </c>
      <c r="E1243" s="13" t="s">
        <v>15</v>
      </c>
      <c r="F1243" s="14">
        <v>0.03329861111111111</v>
      </c>
      <c r="G1243" s="21"/>
    </row>
    <row r="1244">
      <c r="A1244" s="4" t="s">
        <v>1227</v>
      </c>
      <c r="B1244" s="10">
        <v>718627.0</v>
      </c>
      <c r="C1244" s="16" t="s">
        <v>223</v>
      </c>
      <c r="D1244" s="12" t="s">
        <v>26</v>
      </c>
      <c r="E1244" s="13" t="s">
        <v>15</v>
      </c>
      <c r="F1244" s="14">
        <v>0.051597222222222225</v>
      </c>
      <c r="G1244" s="21"/>
    </row>
    <row r="1245">
      <c r="A1245" s="4" t="s">
        <v>1227</v>
      </c>
      <c r="B1245" s="10">
        <v>2814066.0</v>
      </c>
      <c r="C1245" s="16" t="s">
        <v>367</v>
      </c>
      <c r="D1245" s="12" t="s">
        <v>26</v>
      </c>
      <c r="E1245" s="13" t="s">
        <v>15</v>
      </c>
      <c r="F1245" s="14">
        <v>0.02802083333333333</v>
      </c>
      <c r="G1245" s="21"/>
    </row>
    <row r="1246">
      <c r="A1246" s="4" t="s">
        <v>1227</v>
      </c>
      <c r="B1246" s="10">
        <v>2823041.0</v>
      </c>
      <c r="C1246" s="16" t="s">
        <v>1261</v>
      </c>
      <c r="D1246" s="12" t="s">
        <v>26</v>
      </c>
      <c r="E1246" s="13" t="s">
        <v>15</v>
      </c>
      <c r="F1246" s="14">
        <v>0.02775462962962963</v>
      </c>
      <c r="G1246" s="21"/>
    </row>
    <row r="1247">
      <c r="A1247" s="4" t="s">
        <v>1227</v>
      </c>
      <c r="B1247" s="10">
        <v>2836015.0</v>
      </c>
      <c r="C1247" s="16" t="s">
        <v>1262</v>
      </c>
      <c r="D1247" s="12" t="s">
        <v>26</v>
      </c>
      <c r="E1247" s="13" t="s">
        <v>15</v>
      </c>
      <c r="F1247" s="14">
        <v>0.021342592592592594</v>
      </c>
      <c r="G1247" s="21"/>
    </row>
    <row r="1248">
      <c r="A1248" s="4" t="s">
        <v>1227</v>
      </c>
      <c r="B1248" s="10">
        <v>2838146.0</v>
      </c>
      <c r="C1248" s="16" t="s">
        <v>1263</v>
      </c>
      <c r="D1248" s="12" t="s">
        <v>26</v>
      </c>
      <c r="E1248" s="13" t="s">
        <v>15</v>
      </c>
      <c r="F1248" s="14">
        <v>0.03200231481481482</v>
      </c>
      <c r="G1248" s="21"/>
    </row>
    <row r="1249">
      <c r="A1249" s="4" t="s">
        <v>1227</v>
      </c>
      <c r="B1249" s="10">
        <v>2463092.0</v>
      </c>
      <c r="C1249" s="16" t="s">
        <v>1264</v>
      </c>
      <c r="D1249" s="12" t="s">
        <v>26</v>
      </c>
      <c r="E1249" s="13" t="s">
        <v>26</v>
      </c>
      <c r="F1249" s="14">
        <v>0.016655092592592593</v>
      </c>
      <c r="G1249" s="21"/>
    </row>
    <row r="1250">
      <c r="A1250" s="4" t="s">
        <v>1227</v>
      </c>
      <c r="B1250" s="10">
        <v>2825691.0</v>
      </c>
      <c r="C1250" s="16" t="s">
        <v>1265</v>
      </c>
      <c r="D1250" s="12" t="s">
        <v>26</v>
      </c>
      <c r="E1250" s="13" t="s">
        <v>26</v>
      </c>
      <c r="F1250" s="14">
        <v>0.0352662037037037</v>
      </c>
      <c r="G1250" s="21"/>
    </row>
    <row r="1251">
      <c r="A1251" s="4" t="s">
        <v>1227</v>
      </c>
      <c r="B1251" s="10">
        <v>2825458.0</v>
      </c>
      <c r="C1251" s="16" t="s">
        <v>1266</v>
      </c>
      <c r="D1251" s="12" t="s">
        <v>26</v>
      </c>
      <c r="E1251" s="13" t="s">
        <v>26</v>
      </c>
      <c r="F1251" s="14">
        <v>0.022685185185185187</v>
      </c>
      <c r="G1251" s="21"/>
    </row>
    <row r="1252">
      <c r="A1252" s="4" t="s">
        <v>1227</v>
      </c>
      <c r="B1252" s="10">
        <v>2839077.0</v>
      </c>
      <c r="C1252" s="16" t="s">
        <v>1267</v>
      </c>
      <c r="D1252" s="12" t="s">
        <v>26</v>
      </c>
      <c r="E1252" s="13" t="s">
        <v>26</v>
      </c>
      <c r="F1252" s="14">
        <v>0.015219907407407408</v>
      </c>
      <c r="G1252" s="21"/>
    </row>
    <row r="1253">
      <c r="A1253" s="4" t="s">
        <v>1227</v>
      </c>
      <c r="B1253" s="10">
        <v>2864030.0</v>
      </c>
      <c r="C1253" s="16" t="s">
        <v>1268</v>
      </c>
      <c r="D1253" s="12" t="s">
        <v>26</v>
      </c>
      <c r="E1253" s="13" t="s">
        <v>26</v>
      </c>
      <c r="F1253" s="14">
        <v>0.011307870370370371</v>
      </c>
      <c r="G1253" s="21"/>
    </row>
    <row r="1254">
      <c r="A1254" s="4" t="s">
        <v>1227</v>
      </c>
      <c r="B1254" s="10">
        <v>2833004.0</v>
      </c>
      <c r="C1254" s="16" t="s">
        <v>95</v>
      </c>
      <c r="D1254" s="12" t="s">
        <v>26</v>
      </c>
      <c r="E1254" s="13" t="s">
        <v>26</v>
      </c>
      <c r="F1254" s="14">
        <v>0.018113425925925925</v>
      </c>
      <c r="G1254" s="21"/>
    </row>
    <row r="1255">
      <c r="A1255" s="4" t="s">
        <v>1227</v>
      </c>
      <c r="B1255" s="10">
        <v>2825721.0</v>
      </c>
      <c r="C1255" s="16" t="s">
        <v>1269</v>
      </c>
      <c r="D1255" s="12" t="s">
        <v>26</v>
      </c>
      <c r="E1255" s="13" t="s">
        <v>26</v>
      </c>
      <c r="F1255" s="14">
        <v>0.019872685185185184</v>
      </c>
      <c r="G1255" s="21"/>
    </row>
    <row r="1256">
      <c r="A1256" s="4" t="s">
        <v>1227</v>
      </c>
      <c r="B1256" s="10">
        <v>2877280.0</v>
      </c>
      <c r="C1256" s="16" t="s">
        <v>1270</v>
      </c>
      <c r="D1256" s="12" t="s">
        <v>26</v>
      </c>
      <c r="E1256" s="13" t="s">
        <v>26</v>
      </c>
      <c r="F1256" s="14">
        <v>0.020891203703703703</v>
      </c>
      <c r="G1256" s="21"/>
    </row>
    <row r="1257">
      <c r="A1257" s="4" t="s">
        <v>1227</v>
      </c>
      <c r="B1257" s="10">
        <v>2876246.0</v>
      </c>
      <c r="C1257" s="16" t="s">
        <v>1271</v>
      </c>
      <c r="D1257" s="12" t="s">
        <v>26</v>
      </c>
      <c r="E1257" s="13" t="s">
        <v>26</v>
      </c>
      <c r="F1257" s="14">
        <v>0.02420138888888889</v>
      </c>
      <c r="G1257" s="21"/>
    </row>
    <row r="1258">
      <c r="A1258" s="4" t="s">
        <v>1227</v>
      </c>
      <c r="B1258" s="10">
        <v>2883104.0</v>
      </c>
      <c r="C1258" s="16" t="s">
        <v>1272</v>
      </c>
      <c r="D1258" s="12" t="s">
        <v>26</v>
      </c>
      <c r="E1258" s="13" t="s">
        <v>26</v>
      </c>
      <c r="F1258" s="14">
        <v>0.050243055555555555</v>
      </c>
      <c r="G1258" s="21"/>
    </row>
    <row r="1259">
      <c r="A1259" s="4" t="s">
        <v>1273</v>
      </c>
      <c r="B1259" s="5" t="s">
        <v>8</v>
      </c>
      <c r="C1259" s="6" t="s">
        <v>9</v>
      </c>
      <c r="D1259" s="7" t="s">
        <v>3</v>
      </c>
      <c r="E1259" s="7" t="s">
        <v>10</v>
      </c>
      <c r="F1259" s="8" t="s">
        <v>11</v>
      </c>
      <c r="G1259" s="9" t="s">
        <v>12</v>
      </c>
    </row>
    <row r="1260">
      <c r="A1260" s="4" t="s">
        <v>1273</v>
      </c>
      <c r="B1260" s="10">
        <v>2846000.0</v>
      </c>
      <c r="C1260" s="16" t="s">
        <v>1274</v>
      </c>
      <c r="D1260" s="12" t="s">
        <v>14</v>
      </c>
      <c r="E1260" s="13" t="s">
        <v>38</v>
      </c>
      <c r="F1260" s="14">
        <v>0.044398148148148145</v>
      </c>
      <c r="G1260" s="18" t="s">
        <v>162</v>
      </c>
    </row>
    <row r="1261">
      <c r="A1261" s="4" t="s">
        <v>1273</v>
      </c>
      <c r="B1261" s="10">
        <v>645018.0</v>
      </c>
      <c r="C1261" s="16" t="s">
        <v>1275</v>
      </c>
      <c r="D1261" s="12" t="s">
        <v>14</v>
      </c>
      <c r="E1261" s="13" t="s">
        <v>26</v>
      </c>
      <c r="F1261" s="14">
        <v>0.01056712962962963</v>
      </c>
      <c r="G1261" s="15" t="s">
        <v>233</v>
      </c>
    </row>
    <row r="1262">
      <c r="A1262" s="4" t="s">
        <v>1273</v>
      </c>
      <c r="B1262" s="10">
        <v>689764.0</v>
      </c>
      <c r="C1262" s="16" t="s">
        <v>1276</v>
      </c>
      <c r="D1262" s="12" t="s">
        <v>14</v>
      </c>
      <c r="E1262" s="13" t="s">
        <v>26</v>
      </c>
      <c r="F1262" s="14">
        <v>0.13275462962962964</v>
      </c>
      <c r="G1262" s="15" t="s">
        <v>1277</v>
      </c>
    </row>
    <row r="1263">
      <c r="A1263" s="4" t="s">
        <v>1273</v>
      </c>
      <c r="B1263" s="10">
        <v>585010.0</v>
      </c>
      <c r="C1263" s="16" t="s">
        <v>586</v>
      </c>
      <c r="D1263" s="12" t="s">
        <v>14</v>
      </c>
      <c r="E1263" s="13" t="s">
        <v>19</v>
      </c>
      <c r="F1263" s="14">
        <v>0.0635300925925926</v>
      </c>
      <c r="G1263" s="15" t="s">
        <v>1229</v>
      </c>
    </row>
    <row r="1264">
      <c r="A1264" s="4" t="s">
        <v>1273</v>
      </c>
      <c r="B1264" s="10">
        <v>645013.0</v>
      </c>
      <c r="C1264" s="16" t="s">
        <v>230</v>
      </c>
      <c r="D1264" s="12" t="s">
        <v>14</v>
      </c>
      <c r="E1264" s="13" t="s">
        <v>15</v>
      </c>
      <c r="F1264" s="14">
        <v>0.04212962962962963</v>
      </c>
      <c r="G1264" s="15" t="s">
        <v>1278</v>
      </c>
    </row>
    <row r="1265">
      <c r="A1265" s="4" t="s">
        <v>1273</v>
      </c>
      <c r="B1265" s="10">
        <v>797722.0</v>
      </c>
      <c r="C1265" s="16" t="s">
        <v>166</v>
      </c>
      <c r="D1265" s="12" t="s">
        <v>14</v>
      </c>
      <c r="E1265" s="13" t="s">
        <v>15</v>
      </c>
      <c r="F1265" s="14">
        <v>0.030983796296296297</v>
      </c>
      <c r="G1265" s="15" t="s">
        <v>1279</v>
      </c>
    </row>
    <row r="1266">
      <c r="A1266" s="4" t="s">
        <v>1273</v>
      </c>
      <c r="B1266" s="10">
        <v>5015886.0</v>
      </c>
      <c r="C1266" s="16" t="s">
        <v>13</v>
      </c>
      <c r="D1266" s="12" t="s">
        <v>14</v>
      </c>
      <c r="E1266" s="13" t="s">
        <v>15</v>
      </c>
      <c r="F1266" s="14">
        <v>0.010231481481481482</v>
      </c>
      <c r="G1266" s="15" t="s">
        <v>1280</v>
      </c>
    </row>
    <row r="1267">
      <c r="A1267" s="4" t="s">
        <v>1273</v>
      </c>
      <c r="B1267" s="10">
        <v>2817144.0</v>
      </c>
      <c r="C1267" s="16" t="s">
        <v>1281</v>
      </c>
      <c r="D1267" s="12" t="s">
        <v>14</v>
      </c>
      <c r="E1267" s="13" t="s">
        <v>15</v>
      </c>
      <c r="F1267" s="14">
        <v>0.015844907407407408</v>
      </c>
      <c r="G1267" s="15" t="s">
        <v>1282</v>
      </c>
    </row>
    <row r="1268">
      <c r="A1268" s="4" t="s">
        <v>1273</v>
      </c>
      <c r="B1268" s="10">
        <v>2806194.0</v>
      </c>
      <c r="C1268" s="16" t="s">
        <v>1236</v>
      </c>
      <c r="D1268" s="12" t="s">
        <v>14</v>
      </c>
      <c r="E1268" s="13" t="s">
        <v>109</v>
      </c>
      <c r="F1268" s="14">
        <v>0.040150462962962964</v>
      </c>
      <c r="G1268" s="15" t="s">
        <v>27</v>
      </c>
    </row>
    <row r="1269">
      <c r="A1269" s="4" t="s">
        <v>1273</v>
      </c>
      <c r="B1269" s="10">
        <v>758617.0</v>
      </c>
      <c r="C1269" s="16" t="s">
        <v>1227</v>
      </c>
      <c r="D1269" s="12" t="s">
        <v>14</v>
      </c>
      <c r="E1269" s="13" t="s">
        <v>109</v>
      </c>
      <c r="F1269" s="14">
        <v>0.05005787037037037</v>
      </c>
      <c r="G1269" s="21"/>
    </row>
    <row r="1270">
      <c r="A1270" s="4" t="s">
        <v>1273</v>
      </c>
      <c r="B1270" s="10">
        <v>2822090.0</v>
      </c>
      <c r="C1270" s="16" t="s">
        <v>1283</v>
      </c>
      <c r="D1270" s="12" t="s">
        <v>14</v>
      </c>
      <c r="E1270" s="13" t="s">
        <v>109</v>
      </c>
      <c r="F1270" s="14">
        <v>0.018969907407407408</v>
      </c>
      <c r="G1270" s="22"/>
    </row>
    <row r="1271">
      <c r="A1271" s="4" t="s">
        <v>1273</v>
      </c>
      <c r="B1271" s="10">
        <v>772318.0</v>
      </c>
      <c r="C1271" s="16" t="s">
        <v>1284</v>
      </c>
      <c r="D1271" s="12" t="s">
        <v>14</v>
      </c>
      <c r="E1271" s="13" t="s">
        <v>109</v>
      </c>
      <c r="F1271" s="14">
        <v>0.07532407407407407</v>
      </c>
      <c r="G1271" s="21"/>
    </row>
    <row r="1272">
      <c r="A1272" s="4" t="s">
        <v>1273</v>
      </c>
      <c r="B1272" s="10">
        <v>693107.0</v>
      </c>
      <c r="C1272" s="16" t="s">
        <v>293</v>
      </c>
      <c r="D1272" s="12" t="s">
        <v>14</v>
      </c>
      <c r="E1272" s="13" t="s">
        <v>109</v>
      </c>
      <c r="F1272" s="14">
        <v>0.033414351851851855</v>
      </c>
      <c r="G1272" s="21"/>
    </row>
    <row r="1273">
      <c r="A1273" s="4" t="s">
        <v>1273</v>
      </c>
      <c r="B1273" s="10">
        <v>2241053.0</v>
      </c>
      <c r="C1273" s="16" t="s">
        <v>1237</v>
      </c>
      <c r="D1273" s="12" t="s">
        <v>14</v>
      </c>
      <c r="E1273" s="13" t="s">
        <v>26</v>
      </c>
      <c r="F1273" s="14">
        <v>0.009641203703703704</v>
      </c>
      <c r="G1273" s="21"/>
    </row>
    <row r="1274">
      <c r="A1274" s="4" t="s">
        <v>1273</v>
      </c>
      <c r="B1274" s="10">
        <v>2425608.0</v>
      </c>
      <c r="C1274" s="16" t="s">
        <v>1285</v>
      </c>
      <c r="D1274" s="12" t="s">
        <v>18</v>
      </c>
      <c r="E1274" s="13" t="s">
        <v>38</v>
      </c>
      <c r="F1274" s="14">
        <v>0.010416666666666666</v>
      </c>
      <c r="G1274" s="21"/>
    </row>
    <row r="1275">
      <c r="A1275" s="4" t="s">
        <v>1273</v>
      </c>
      <c r="B1275" s="10">
        <v>518758.0</v>
      </c>
      <c r="C1275" s="16" t="s">
        <v>1286</v>
      </c>
      <c r="D1275" s="12" t="s">
        <v>18</v>
      </c>
      <c r="E1275" s="13" t="s">
        <v>19</v>
      </c>
      <c r="F1275" s="14">
        <v>0.0412037037037037</v>
      </c>
      <c r="G1275" s="21"/>
    </row>
    <row r="1276">
      <c r="A1276" s="4" t="s">
        <v>1273</v>
      </c>
      <c r="B1276" s="10">
        <v>777382.0</v>
      </c>
      <c r="C1276" s="16" t="s">
        <v>1287</v>
      </c>
      <c r="D1276" s="12" t="s">
        <v>18</v>
      </c>
      <c r="E1276" s="13" t="s">
        <v>19</v>
      </c>
      <c r="F1276" s="14">
        <v>0.04711805555555556</v>
      </c>
      <c r="G1276" s="21"/>
    </row>
    <row r="1277">
      <c r="A1277" s="4" t="s">
        <v>1273</v>
      </c>
      <c r="B1277" s="10">
        <v>756286.0</v>
      </c>
      <c r="C1277" s="16" t="s">
        <v>1002</v>
      </c>
      <c r="D1277" s="12" t="s">
        <v>18</v>
      </c>
      <c r="E1277" s="13" t="s">
        <v>15</v>
      </c>
      <c r="F1277" s="14">
        <v>0.03916666666666667</v>
      </c>
      <c r="G1277" s="21"/>
    </row>
    <row r="1278">
      <c r="A1278" s="4" t="s">
        <v>1273</v>
      </c>
      <c r="B1278" s="10">
        <v>5022331.0</v>
      </c>
      <c r="C1278" s="16" t="s">
        <v>1288</v>
      </c>
      <c r="D1278" s="12" t="s">
        <v>18</v>
      </c>
      <c r="E1278" s="13" t="s">
        <v>15</v>
      </c>
      <c r="F1278" s="14">
        <v>0.025925925925925925</v>
      </c>
      <c r="G1278" s="21"/>
    </row>
    <row r="1279">
      <c r="A1279" s="4" t="s">
        <v>1273</v>
      </c>
      <c r="B1279" s="10">
        <v>373992.0</v>
      </c>
      <c r="C1279" s="16" t="s">
        <v>643</v>
      </c>
      <c r="D1279" s="12" t="s">
        <v>18</v>
      </c>
      <c r="E1279" s="13" t="s">
        <v>15</v>
      </c>
      <c r="F1279" s="14">
        <v>0.03484953703703704</v>
      </c>
      <c r="G1279" s="21"/>
    </row>
    <row r="1280">
      <c r="A1280" s="4" t="s">
        <v>1273</v>
      </c>
      <c r="B1280" s="10">
        <v>167027.0</v>
      </c>
      <c r="C1280" s="16" t="s">
        <v>1289</v>
      </c>
      <c r="D1280" s="12" t="s">
        <v>18</v>
      </c>
      <c r="E1280" s="13" t="s">
        <v>15</v>
      </c>
      <c r="F1280" s="14">
        <v>0.055</v>
      </c>
      <c r="G1280" s="21"/>
    </row>
    <row r="1281">
      <c r="A1281" s="4" t="s">
        <v>1273</v>
      </c>
      <c r="B1281" s="10">
        <v>2806197.0</v>
      </c>
      <c r="C1281" s="16" t="s">
        <v>1290</v>
      </c>
      <c r="D1281" s="12" t="s">
        <v>18</v>
      </c>
      <c r="E1281" s="13" t="s">
        <v>15</v>
      </c>
      <c r="F1281" s="14">
        <v>0.01902777777777778</v>
      </c>
      <c r="G1281" s="21"/>
    </row>
    <row r="1282">
      <c r="A1282" s="4" t="s">
        <v>1273</v>
      </c>
      <c r="B1282" s="10">
        <v>5010646.0</v>
      </c>
      <c r="C1282" s="16" t="s">
        <v>29</v>
      </c>
      <c r="D1282" s="12" t="s">
        <v>18</v>
      </c>
      <c r="E1282" s="13" t="s">
        <v>15</v>
      </c>
      <c r="F1282" s="14">
        <v>0.02980324074074074</v>
      </c>
      <c r="G1282" s="21"/>
    </row>
    <row r="1283">
      <c r="A1283" s="4" t="s">
        <v>1273</v>
      </c>
      <c r="B1283" s="10">
        <v>756285.0</v>
      </c>
      <c r="C1283" s="16" t="s">
        <v>1291</v>
      </c>
      <c r="D1283" s="12" t="s">
        <v>18</v>
      </c>
      <c r="E1283" s="13" t="s">
        <v>15</v>
      </c>
      <c r="F1283" s="14">
        <v>0.038125</v>
      </c>
      <c r="G1283" s="21"/>
    </row>
    <row r="1284">
      <c r="A1284" s="4" t="s">
        <v>1273</v>
      </c>
      <c r="B1284" s="10">
        <v>2811020.0</v>
      </c>
      <c r="C1284" s="16" t="s">
        <v>303</v>
      </c>
      <c r="D1284" s="12" t="s">
        <v>18</v>
      </c>
      <c r="E1284" s="13" t="s">
        <v>15</v>
      </c>
      <c r="F1284" s="14">
        <v>0.022094907407407407</v>
      </c>
      <c r="G1284" s="21"/>
    </row>
    <row r="1285">
      <c r="A1285" s="4" t="s">
        <v>1273</v>
      </c>
      <c r="B1285" s="10">
        <v>2813183.0</v>
      </c>
      <c r="C1285" s="16" t="s">
        <v>1243</v>
      </c>
      <c r="D1285" s="12" t="s">
        <v>18</v>
      </c>
      <c r="E1285" s="13" t="s">
        <v>15</v>
      </c>
      <c r="F1285" s="14">
        <v>0.03140046296296296</v>
      </c>
      <c r="G1285" s="21"/>
    </row>
    <row r="1286">
      <c r="A1286" s="4" t="s">
        <v>1273</v>
      </c>
      <c r="B1286" s="10">
        <v>2875304.0</v>
      </c>
      <c r="C1286" s="16" t="s">
        <v>312</v>
      </c>
      <c r="D1286" s="12" t="s">
        <v>18</v>
      </c>
      <c r="E1286" s="13" t="s">
        <v>15</v>
      </c>
      <c r="F1286" s="14">
        <v>0.020902777777777777</v>
      </c>
      <c r="G1286" s="21"/>
    </row>
    <row r="1287">
      <c r="A1287" s="4" t="s">
        <v>1273</v>
      </c>
      <c r="B1287" s="10">
        <v>2878066.0</v>
      </c>
      <c r="C1287" s="16" t="s">
        <v>1292</v>
      </c>
      <c r="D1287" s="12" t="s">
        <v>18</v>
      </c>
      <c r="E1287" s="13" t="s">
        <v>109</v>
      </c>
      <c r="F1287" s="14">
        <v>0.015729166666666666</v>
      </c>
      <c r="G1287" s="21"/>
    </row>
    <row r="1288">
      <c r="A1288" s="4" t="s">
        <v>1273</v>
      </c>
      <c r="B1288" s="10">
        <v>685023.0</v>
      </c>
      <c r="C1288" s="16" t="s">
        <v>1293</v>
      </c>
      <c r="D1288" s="12" t="s">
        <v>18</v>
      </c>
      <c r="E1288" s="13" t="s">
        <v>109</v>
      </c>
      <c r="F1288" s="14">
        <v>0.05386574074074074</v>
      </c>
      <c r="G1288" s="21"/>
    </row>
    <row r="1289">
      <c r="A1289" s="4" t="s">
        <v>1273</v>
      </c>
      <c r="B1289" s="10">
        <v>2809356.0</v>
      </c>
      <c r="C1289" s="16" t="s">
        <v>1294</v>
      </c>
      <c r="D1289" s="12" t="s">
        <v>18</v>
      </c>
      <c r="E1289" s="13" t="s">
        <v>109</v>
      </c>
      <c r="F1289" s="14">
        <v>0.006585648148148148</v>
      </c>
      <c r="G1289" s="21"/>
    </row>
    <row r="1290">
      <c r="A1290" s="4" t="s">
        <v>1273</v>
      </c>
      <c r="B1290" s="10">
        <v>2833088.0</v>
      </c>
      <c r="C1290" s="16" t="s">
        <v>1238</v>
      </c>
      <c r="D1290" s="12" t="s">
        <v>18</v>
      </c>
      <c r="E1290" s="13" t="s">
        <v>109</v>
      </c>
      <c r="F1290" s="14">
        <v>0.02144675925925926</v>
      </c>
      <c r="G1290" s="21"/>
    </row>
    <row r="1291">
      <c r="A1291" s="4" t="s">
        <v>1273</v>
      </c>
      <c r="B1291" s="10">
        <v>696872.0</v>
      </c>
      <c r="C1291" s="16" t="s">
        <v>1295</v>
      </c>
      <c r="D1291" s="12" t="s">
        <v>18</v>
      </c>
      <c r="E1291" s="13" t="s">
        <v>26</v>
      </c>
      <c r="F1291" s="14">
        <v>0.018935185185185187</v>
      </c>
      <c r="G1291" s="21"/>
    </row>
    <row r="1292">
      <c r="A1292" s="4" t="s">
        <v>1273</v>
      </c>
      <c r="B1292" s="10">
        <v>651185.0</v>
      </c>
      <c r="C1292" s="16" t="s">
        <v>1296</v>
      </c>
      <c r="D1292" s="12" t="s">
        <v>34</v>
      </c>
      <c r="E1292" s="13" t="s">
        <v>38</v>
      </c>
      <c r="F1292" s="14">
        <v>0.03525462962962963</v>
      </c>
      <c r="G1292" s="21"/>
    </row>
    <row r="1293">
      <c r="A1293" s="4" t="s">
        <v>1273</v>
      </c>
      <c r="B1293" s="10">
        <v>802830.0</v>
      </c>
      <c r="C1293" s="16" t="s">
        <v>1297</v>
      </c>
      <c r="D1293" s="12" t="s">
        <v>34</v>
      </c>
      <c r="E1293" s="13" t="s">
        <v>38</v>
      </c>
      <c r="F1293" s="14">
        <v>0.03142361111111111</v>
      </c>
      <c r="G1293" s="21"/>
    </row>
    <row r="1294">
      <c r="A1294" s="4" t="s">
        <v>1273</v>
      </c>
      <c r="B1294" s="10">
        <v>721910.0</v>
      </c>
      <c r="C1294" s="16" t="s">
        <v>1298</v>
      </c>
      <c r="D1294" s="12" t="s">
        <v>34</v>
      </c>
      <c r="E1294" s="13" t="s">
        <v>38</v>
      </c>
      <c r="F1294" s="14">
        <v>0.10472222222222222</v>
      </c>
      <c r="G1294" s="21"/>
    </row>
    <row r="1295">
      <c r="A1295" s="4" t="s">
        <v>1273</v>
      </c>
      <c r="B1295" s="10">
        <v>2813255.0</v>
      </c>
      <c r="C1295" s="16" t="s">
        <v>1299</v>
      </c>
      <c r="D1295" s="12" t="s">
        <v>34</v>
      </c>
      <c r="E1295" s="13" t="s">
        <v>38</v>
      </c>
      <c r="F1295" s="14">
        <v>0.028449074074074075</v>
      </c>
      <c r="G1295" s="21"/>
    </row>
    <row r="1296">
      <c r="A1296" s="4" t="s">
        <v>1273</v>
      </c>
      <c r="B1296" s="10">
        <v>2820052.0</v>
      </c>
      <c r="C1296" s="16" t="s">
        <v>1300</v>
      </c>
      <c r="D1296" s="12" t="s">
        <v>34</v>
      </c>
      <c r="E1296" s="13" t="s">
        <v>38</v>
      </c>
      <c r="F1296" s="14">
        <v>0.032476851851851854</v>
      </c>
      <c r="G1296" s="21"/>
    </row>
    <row r="1297">
      <c r="A1297" s="4" t="s">
        <v>1273</v>
      </c>
      <c r="B1297" s="10">
        <v>2823296.0</v>
      </c>
      <c r="C1297" s="16" t="s">
        <v>1301</v>
      </c>
      <c r="D1297" s="12" t="s">
        <v>34</v>
      </c>
      <c r="E1297" s="13" t="s">
        <v>38</v>
      </c>
      <c r="F1297" s="14">
        <v>0.09167824074074074</v>
      </c>
      <c r="G1297" s="21"/>
    </row>
    <row r="1298">
      <c r="A1298" s="4" t="s">
        <v>1273</v>
      </c>
      <c r="B1298" s="10">
        <v>2823297.0</v>
      </c>
      <c r="C1298" s="16" t="s">
        <v>176</v>
      </c>
      <c r="D1298" s="12" t="s">
        <v>34</v>
      </c>
      <c r="E1298" s="13" t="s">
        <v>38</v>
      </c>
      <c r="F1298" s="14">
        <v>0.06542824074074075</v>
      </c>
      <c r="G1298" s="21"/>
    </row>
    <row r="1299">
      <c r="A1299" s="4" t="s">
        <v>1273</v>
      </c>
      <c r="B1299" s="10">
        <v>2822456.0</v>
      </c>
      <c r="C1299" s="16" t="s">
        <v>1302</v>
      </c>
      <c r="D1299" s="12" t="s">
        <v>34</v>
      </c>
      <c r="E1299" s="13" t="s">
        <v>38</v>
      </c>
      <c r="F1299" s="14">
        <v>0.04642361111111111</v>
      </c>
      <c r="G1299" s="21"/>
    </row>
    <row r="1300">
      <c r="A1300" s="4" t="s">
        <v>1273</v>
      </c>
      <c r="B1300" s="10">
        <v>2974166.0</v>
      </c>
      <c r="C1300" s="16" t="s">
        <v>1303</v>
      </c>
      <c r="D1300" s="12" t="s">
        <v>34</v>
      </c>
      <c r="E1300" s="13" t="s">
        <v>38</v>
      </c>
      <c r="F1300" s="14">
        <v>0.03868055555555556</v>
      </c>
      <c r="G1300" s="21"/>
    </row>
    <row r="1301">
      <c r="A1301" s="4" t="s">
        <v>1273</v>
      </c>
      <c r="B1301" s="10">
        <v>2877031.0</v>
      </c>
      <c r="C1301" s="16" t="s">
        <v>1304</v>
      </c>
      <c r="D1301" s="12" t="s">
        <v>34</v>
      </c>
      <c r="E1301" s="13" t="s">
        <v>38</v>
      </c>
      <c r="F1301" s="14">
        <v>0.018773148148148146</v>
      </c>
      <c r="G1301" s="21"/>
    </row>
    <row r="1302">
      <c r="A1302" s="4" t="s">
        <v>1273</v>
      </c>
      <c r="B1302" s="10">
        <v>2428601.0</v>
      </c>
      <c r="C1302" s="16" t="s">
        <v>314</v>
      </c>
      <c r="D1302" s="12" t="s">
        <v>34</v>
      </c>
      <c r="E1302" s="13" t="s">
        <v>38</v>
      </c>
      <c r="F1302" s="14">
        <v>0.056400462962962965</v>
      </c>
      <c r="G1302" s="21"/>
    </row>
    <row r="1303">
      <c r="A1303" s="4" t="s">
        <v>1273</v>
      </c>
      <c r="B1303" s="10">
        <v>5034158.0</v>
      </c>
      <c r="C1303" s="16" t="s">
        <v>1305</v>
      </c>
      <c r="D1303" s="12" t="s">
        <v>34</v>
      </c>
      <c r="E1303" s="13" t="s">
        <v>19</v>
      </c>
      <c r="F1303" s="14">
        <v>0.02431712962962963</v>
      </c>
      <c r="G1303" s="21"/>
    </row>
    <row r="1304">
      <c r="A1304" s="4" t="s">
        <v>1273</v>
      </c>
      <c r="B1304" s="10">
        <v>797724.0</v>
      </c>
      <c r="C1304" s="16" t="s">
        <v>1306</v>
      </c>
      <c r="D1304" s="12" t="s">
        <v>34</v>
      </c>
      <c r="E1304" s="13" t="s">
        <v>19</v>
      </c>
      <c r="F1304" s="14">
        <v>0.025578703703703704</v>
      </c>
      <c r="G1304" s="21"/>
    </row>
    <row r="1305">
      <c r="A1305" s="4" t="s">
        <v>1273</v>
      </c>
      <c r="B1305" s="10">
        <v>756283.0</v>
      </c>
      <c r="C1305" s="16" t="s">
        <v>1307</v>
      </c>
      <c r="D1305" s="12" t="s">
        <v>34</v>
      </c>
      <c r="E1305" s="13" t="s">
        <v>19</v>
      </c>
      <c r="F1305" s="14">
        <v>0.04310185185185185</v>
      </c>
      <c r="G1305" s="21"/>
    </row>
    <row r="1306">
      <c r="A1306" s="4" t="s">
        <v>1273</v>
      </c>
      <c r="B1306" s="10">
        <v>5022323.0</v>
      </c>
      <c r="C1306" s="16" t="s">
        <v>1308</v>
      </c>
      <c r="D1306" s="12" t="s">
        <v>34</v>
      </c>
      <c r="E1306" s="13" t="s">
        <v>15</v>
      </c>
      <c r="F1306" s="14">
        <v>0.027060185185185184</v>
      </c>
      <c r="G1306" s="21"/>
    </row>
    <row r="1307">
      <c r="A1307" s="4" t="s">
        <v>1273</v>
      </c>
      <c r="B1307" s="10">
        <v>713373.0</v>
      </c>
      <c r="C1307" s="16" t="s">
        <v>1309</v>
      </c>
      <c r="D1307" s="12" t="s">
        <v>34</v>
      </c>
      <c r="E1307" s="13" t="s">
        <v>15</v>
      </c>
      <c r="F1307" s="14">
        <v>0.023796296296296298</v>
      </c>
      <c r="G1307" s="21"/>
    </row>
    <row r="1308">
      <c r="A1308" s="4" t="s">
        <v>1273</v>
      </c>
      <c r="B1308" s="10">
        <v>672869.0</v>
      </c>
      <c r="C1308" s="16" t="s">
        <v>1310</v>
      </c>
      <c r="D1308" s="12" t="s">
        <v>34</v>
      </c>
      <c r="E1308" s="13" t="s">
        <v>15</v>
      </c>
      <c r="F1308" s="14">
        <v>0.03189814814814815</v>
      </c>
      <c r="G1308" s="21"/>
    </row>
    <row r="1309">
      <c r="A1309" s="4" t="s">
        <v>1273</v>
      </c>
      <c r="B1309" s="10">
        <v>175129.0</v>
      </c>
      <c r="C1309" s="16" t="s">
        <v>191</v>
      </c>
      <c r="D1309" s="12" t="s">
        <v>34</v>
      </c>
      <c r="E1309" s="13" t="s">
        <v>15</v>
      </c>
      <c r="F1309" s="14">
        <v>0.017361111111111112</v>
      </c>
      <c r="G1309" s="21"/>
    </row>
    <row r="1310">
      <c r="A1310" s="4" t="s">
        <v>1273</v>
      </c>
      <c r="B1310" s="10">
        <v>647651.0</v>
      </c>
      <c r="C1310" s="16" t="s">
        <v>1311</v>
      </c>
      <c r="D1310" s="12" t="s">
        <v>34</v>
      </c>
      <c r="E1310" s="13" t="s">
        <v>15</v>
      </c>
      <c r="F1310" s="14">
        <v>0.030532407407407407</v>
      </c>
      <c r="G1310" s="21"/>
    </row>
    <row r="1311">
      <c r="A1311" s="4" t="s">
        <v>1273</v>
      </c>
      <c r="B1311" s="10">
        <v>447322.0</v>
      </c>
      <c r="C1311" s="16" t="s">
        <v>436</v>
      </c>
      <c r="D1311" s="12" t="s">
        <v>34</v>
      </c>
      <c r="E1311" s="13" t="s">
        <v>15</v>
      </c>
      <c r="F1311" s="14">
        <v>0.032789351851851854</v>
      </c>
      <c r="G1311" s="21"/>
    </row>
    <row r="1312">
      <c r="A1312" s="4" t="s">
        <v>1273</v>
      </c>
      <c r="B1312" s="10">
        <v>808670.0</v>
      </c>
      <c r="C1312" s="16" t="s">
        <v>406</v>
      </c>
      <c r="D1312" s="12" t="s">
        <v>34</v>
      </c>
      <c r="E1312" s="13" t="s">
        <v>15</v>
      </c>
      <c r="F1312" s="14">
        <v>0.03384259259259259</v>
      </c>
      <c r="G1312" s="21"/>
    </row>
    <row r="1313">
      <c r="A1313" s="4" t="s">
        <v>1273</v>
      </c>
      <c r="B1313" s="10">
        <v>2802024.0</v>
      </c>
      <c r="C1313" s="16" t="s">
        <v>1312</v>
      </c>
      <c r="D1313" s="12" t="s">
        <v>34</v>
      </c>
      <c r="E1313" s="13" t="s">
        <v>15</v>
      </c>
      <c r="F1313" s="14">
        <v>0.046168981481481484</v>
      </c>
      <c r="G1313" s="21"/>
    </row>
    <row r="1314">
      <c r="A1314" s="4" t="s">
        <v>1273</v>
      </c>
      <c r="B1314" s="10">
        <v>2812534.0</v>
      </c>
      <c r="C1314" s="16" t="s">
        <v>1313</v>
      </c>
      <c r="D1314" s="12" t="s">
        <v>34</v>
      </c>
      <c r="E1314" s="13" t="s">
        <v>15</v>
      </c>
      <c r="F1314" s="14">
        <v>0.039467592592592596</v>
      </c>
      <c r="G1314" s="21"/>
    </row>
    <row r="1315">
      <c r="A1315" s="4" t="s">
        <v>1273</v>
      </c>
      <c r="B1315" s="10">
        <v>2228264.0</v>
      </c>
      <c r="C1315" s="16" t="s">
        <v>196</v>
      </c>
      <c r="D1315" s="12" t="s">
        <v>34</v>
      </c>
      <c r="E1315" s="13" t="s">
        <v>15</v>
      </c>
      <c r="F1315" s="14">
        <v>0.04111111111111111</v>
      </c>
      <c r="G1315" s="21"/>
    </row>
    <row r="1316">
      <c r="A1316" s="4" t="s">
        <v>1273</v>
      </c>
      <c r="B1316" s="10">
        <v>2893004.0</v>
      </c>
      <c r="C1316" s="16" t="s">
        <v>323</v>
      </c>
      <c r="D1316" s="12" t="s">
        <v>34</v>
      </c>
      <c r="E1316" s="13" t="s">
        <v>15</v>
      </c>
      <c r="F1316" s="14">
        <v>0.03711805555555556</v>
      </c>
      <c r="G1316" s="21"/>
    </row>
    <row r="1317">
      <c r="A1317" s="4" t="s">
        <v>1273</v>
      </c>
      <c r="B1317" s="10">
        <v>2888004.0</v>
      </c>
      <c r="C1317" s="16" t="s">
        <v>601</v>
      </c>
      <c r="D1317" s="12" t="s">
        <v>34</v>
      </c>
      <c r="E1317" s="13" t="s">
        <v>15</v>
      </c>
      <c r="F1317" s="14">
        <v>0.055740740740740743</v>
      </c>
      <c r="G1317" s="21"/>
    </row>
    <row r="1318">
      <c r="A1318" s="4" t="s">
        <v>1273</v>
      </c>
      <c r="B1318" s="10">
        <v>2822677.0</v>
      </c>
      <c r="C1318" s="16" t="s">
        <v>1314</v>
      </c>
      <c r="D1318" s="12" t="s">
        <v>34</v>
      </c>
      <c r="E1318" s="13" t="s">
        <v>15</v>
      </c>
      <c r="F1318" s="14">
        <v>0.027094907407407408</v>
      </c>
      <c r="G1318" s="21"/>
    </row>
    <row r="1319">
      <c r="A1319" s="4" t="s">
        <v>1273</v>
      </c>
      <c r="B1319" s="10">
        <v>2421749.0</v>
      </c>
      <c r="C1319" s="16" t="s">
        <v>126</v>
      </c>
      <c r="D1319" s="12" t="s">
        <v>34</v>
      </c>
      <c r="E1319" s="13" t="s">
        <v>15</v>
      </c>
      <c r="F1319" s="14">
        <v>0.03246527777777778</v>
      </c>
      <c r="G1319" s="21"/>
    </row>
    <row r="1320">
      <c r="A1320" s="4" t="s">
        <v>1273</v>
      </c>
      <c r="B1320" s="10">
        <v>2427563.0</v>
      </c>
      <c r="C1320" s="16" t="s">
        <v>1315</v>
      </c>
      <c r="D1320" s="12" t="s">
        <v>34</v>
      </c>
      <c r="E1320" s="13" t="s">
        <v>15</v>
      </c>
      <c r="F1320" s="14">
        <v>0.02087962962962963</v>
      </c>
      <c r="G1320" s="21"/>
    </row>
    <row r="1321">
      <c r="A1321" s="4" t="s">
        <v>1273</v>
      </c>
      <c r="B1321" s="10">
        <v>2809355.0</v>
      </c>
      <c r="C1321" s="16" t="s">
        <v>317</v>
      </c>
      <c r="D1321" s="12" t="s">
        <v>34</v>
      </c>
      <c r="E1321" s="13" t="s">
        <v>26</v>
      </c>
      <c r="F1321" s="14">
        <v>0.02738425925925926</v>
      </c>
      <c r="G1321" s="21"/>
    </row>
    <row r="1322">
      <c r="A1322" s="4" t="s">
        <v>1273</v>
      </c>
      <c r="B1322" s="10">
        <v>2243043.0</v>
      </c>
      <c r="C1322" s="16" t="s">
        <v>1316</v>
      </c>
      <c r="D1322" s="12" t="s">
        <v>34</v>
      </c>
      <c r="E1322" s="13" t="s">
        <v>26</v>
      </c>
      <c r="F1322" s="14">
        <v>0.00525462962962963</v>
      </c>
      <c r="G1322" s="21"/>
    </row>
    <row r="1323">
      <c r="A1323" s="4" t="s">
        <v>1273</v>
      </c>
      <c r="B1323" s="10">
        <v>2832011.0</v>
      </c>
      <c r="C1323" s="16" t="s">
        <v>1024</v>
      </c>
      <c r="D1323" s="12" t="s">
        <v>34</v>
      </c>
      <c r="E1323" s="13" t="s">
        <v>26</v>
      </c>
      <c r="F1323" s="14">
        <v>0.019479166666666665</v>
      </c>
      <c r="G1323" s="21"/>
    </row>
    <row r="1324">
      <c r="A1324" s="4" t="s">
        <v>1273</v>
      </c>
      <c r="B1324" s="10">
        <v>2820012.0</v>
      </c>
      <c r="C1324" s="16" t="s">
        <v>1317</v>
      </c>
      <c r="D1324" s="12" t="s">
        <v>34</v>
      </c>
      <c r="E1324" s="13" t="s">
        <v>26</v>
      </c>
      <c r="F1324" s="14">
        <v>0.016666666666666666</v>
      </c>
      <c r="G1324" s="21"/>
    </row>
    <row r="1325">
      <c r="A1325" s="4" t="s">
        <v>1273</v>
      </c>
      <c r="B1325" s="10">
        <v>2834033.0</v>
      </c>
      <c r="C1325" s="16" t="s">
        <v>1318</v>
      </c>
      <c r="D1325" s="12" t="s">
        <v>34</v>
      </c>
      <c r="E1325" s="13" t="s">
        <v>26</v>
      </c>
      <c r="F1325" s="14">
        <v>0.1315162037037037</v>
      </c>
      <c r="G1325" s="21"/>
    </row>
    <row r="1326">
      <c r="A1326" s="4" t="s">
        <v>1273</v>
      </c>
      <c r="B1326" s="10">
        <v>2877028.0</v>
      </c>
      <c r="C1326" s="16" t="s">
        <v>187</v>
      </c>
      <c r="D1326" s="12" t="s">
        <v>34</v>
      </c>
      <c r="E1326" s="13" t="s">
        <v>26</v>
      </c>
      <c r="F1326" s="14">
        <v>0.052708333333333336</v>
      </c>
      <c r="G1326" s="21"/>
    </row>
    <row r="1327">
      <c r="A1327" s="4" t="s">
        <v>1273</v>
      </c>
      <c r="B1327" s="10">
        <v>2242044.0</v>
      </c>
      <c r="C1327" s="16" t="s">
        <v>1319</v>
      </c>
      <c r="D1327" s="12" t="s">
        <v>34</v>
      </c>
      <c r="E1327" s="13" t="s">
        <v>26</v>
      </c>
      <c r="F1327" s="14">
        <v>0.009097222222222222</v>
      </c>
      <c r="G1327" s="21"/>
    </row>
    <row r="1328">
      <c r="A1328" s="4" t="s">
        <v>1273</v>
      </c>
      <c r="B1328" s="10">
        <v>2892082.0</v>
      </c>
      <c r="C1328" s="16" t="s">
        <v>1320</v>
      </c>
      <c r="D1328" s="12" t="s">
        <v>34</v>
      </c>
      <c r="E1328" s="13" t="s">
        <v>26</v>
      </c>
      <c r="F1328" s="14">
        <v>0.024537037037037038</v>
      </c>
      <c r="G1328" s="21"/>
    </row>
    <row r="1329">
      <c r="A1329" s="4" t="s">
        <v>1273</v>
      </c>
      <c r="B1329" s="10">
        <v>3007801.0</v>
      </c>
      <c r="C1329" s="16" t="s">
        <v>1321</v>
      </c>
      <c r="D1329" s="12" t="s">
        <v>26</v>
      </c>
      <c r="E1329" s="13" t="s">
        <v>38</v>
      </c>
      <c r="F1329" s="14">
        <v>0.02101851851851852</v>
      </c>
      <c r="G1329" s="21"/>
    </row>
    <row r="1330">
      <c r="A1330" s="4" t="s">
        <v>1273</v>
      </c>
      <c r="B1330" s="10">
        <v>2974329.0</v>
      </c>
      <c r="C1330" s="16" t="s">
        <v>343</v>
      </c>
      <c r="D1330" s="12" t="s">
        <v>26</v>
      </c>
      <c r="E1330" s="13" t="s">
        <v>38</v>
      </c>
      <c r="F1330" s="14">
        <v>0.12664351851851852</v>
      </c>
      <c r="G1330" s="21"/>
    </row>
    <row r="1331">
      <c r="A1331" s="4" t="s">
        <v>1273</v>
      </c>
      <c r="B1331" s="10">
        <v>2805907.0</v>
      </c>
      <c r="C1331" s="16" t="s">
        <v>330</v>
      </c>
      <c r="D1331" s="12" t="s">
        <v>26</v>
      </c>
      <c r="E1331" s="13" t="s">
        <v>38</v>
      </c>
      <c r="F1331" s="14">
        <v>0.00949074074074074</v>
      </c>
      <c r="G1331" s="21"/>
    </row>
    <row r="1332">
      <c r="A1332" s="4" t="s">
        <v>1273</v>
      </c>
      <c r="B1332" s="10">
        <v>2807859.0</v>
      </c>
      <c r="C1332" s="16" t="s">
        <v>332</v>
      </c>
      <c r="D1332" s="12" t="s">
        <v>26</v>
      </c>
      <c r="E1332" s="13" t="s">
        <v>38</v>
      </c>
      <c r="F1332" s="14">
        <v>0.01778935185185185</v>
      </c>
      <c r="G1332" s="21"/>
    </row>
    <row r="1333">
      <c r="A1333" s="4" t="s">
        <v>1273</v>
      </c>
      <c r="B1333" s="10">
        <v>2297061.0</v>
      </c>
      <c r="C1333" s="16" t="s">
        <v>1322</v>
      </c>
      <c r="D1333" s="12" t="s">
        <v>26</v>
      </c>
      <c r="E1333" s="13" t="s">
        <v>38</v>
      </c>
      <c r="F1333" s="14">
        <v>0.03467592592592592</v>
      </c>
      <c r="G1333" s="21"/>
    </row>
    <row r="1334">
      <c r="A1334" s="4" t="s">
        <v>1273</v>
      </c>
      <c r="B1334" s="10">
        <v>2974167.0</v>
      </c>
      <c r="C1334" s="16" t="s">
        <v>204</v>
      </c>
      <c r="D1334" s="12" t="s">
        <v>26</v>
      </c>
      <c r="E1334" s="13" t="s">
        <v>38</v>
      </c>
      <c r="F1334" s="14">
        <v>0.035381944444444445</v>
      </c>
      <c r="G1334" s="21"/>
    </row>
    <row r="1335">
      <c r="A1335" s="4" t="s">
        <v>1273</v>
      </c>
      <c r="B1335" s="10">
        <v>2864190.0</v>
      </c>
      <c r="C1335" s="16" t="s">
        <v>1323</v>
      </c>
      <c r="D1335" s="12" t="s">
        <v>26</v>
      </c>
      <c r="E1335" s="13" t="s">
        <v>38</v>
      </c>
      <c r="F1335" s="14">
        <v>0.014872685185185185</v>
      </c>
      <c r="G1335" s="21"/>
    </row>
    <row r="1336">
      <c r="A1336" s="4" t="s">
        <v>1273</v>
      </c>
      <c r="B1336" s="10">
        <v>2825698.0</v>
      </c>
      <c r="C1336" s="16" t="s">
        <v>1324</v>
      </c>
      <c r="D1336" s="12" t="s">
        <v>26</v>
      </c>
      <c r="E1336" s="13" t="s">
        <v>38</v>
      </c>
      <c r="F1336" s="14">
        <v>0.03822916666666667</v>
      </c>
      <c r="G1336" s="21"/>
    </row>
    <row r="1337">
      <c r="A1337" s="4" t="s">
        <v>1273</v>
      </c>
      <c r="B1337" s="10">
        <v>2834000.0</v>
      </c>
      <c r="C1337" s="16" t="s">
        <v>1325</v>
      </c>
      <c r="D1337" s="12" t="s">
        <v>26</v>
      </c>
      <c r="E1337" s="13" t="s">
        <v>38</v>
      </c>
      <c r="F1337" s="14">
        <v>0.029988425925925925</v>
      </c>
      <c r="G1337" s="21"/>
    </row>
    <row r="1338">
      <c r="A1338" s="4" t="s">
        <v>1273</v>
      </c>
      <c r="B1338" s="10">
        <v>2883010.0</v>
      </c>
      <c r="C1338" s="16" t="s">
        <v>1326</v>
      </c>
      <c r="D1338" s="12" t="s">
        <v>26</v>
      </c>
      <c r="E1338" s="13" t="s">
        <v>38</v>
      </c>
      <c r="F1338" s="14">
        <v>0.028958333333333332</v>
      </c>
      <c r="G1338" s="21"/>
    </row>
    <row r="1339">
      <c r="A1339" s="4" t="s">
        <v>1273</v>
      </c>
      <c r="B1339" s="10">
        <v>2884171.0</v>
      </c>
      <c r="C1339" s="16" t="s">
        <v>212</v>
      </c>
      <c r="D1339" s="12" t="s">
        <v>26</v>
      </c>
      <c r="E1339" s="13" t="s">
        <v>38</v>
      </c>
      <c r="F1339" s="14">
        <v>0.020370370370370372</v>
      </c>
      <c r="G1339" s="21"/>
    </row>
    <row r="1340">
      <c r="A1340" s="4" t="s">
        <v>1273</v>
      </c>
      <c r="B1340" s="10">
        <v>3006176.0</v>
      </c>
      <c r="C1340" s="16" t="s">
        <v>1327</v>
      </c>
      <c r="D1340" s="12" t="s">
        <v>26</v>
      </c>
      <c r="E1340" s="13" t="s">
        <v>38</v>
      </c>
      <c r="F1340" s="14">
        <v>0.04038194444444444</v>
      </c>
      <c r="G1340" s="21"/>
    </row>
    <row r="1341">
      <c r="A1341" s="4" t="s">
        <v>1273</v>
      </c>
      <c r="B1341" s="10">
        <v>3010103.0</v>
      </c>
      <c r="C1341" s="16" t="s">
        <v>1328</v>
      </c>
      <c r="D1341" s="12" t="s">
        <v>26</v>
      </c>
      <c r="E1341" s="13" t="s">
        <v>38</v>
      </c>
      <c r="F1341" s="14">
        <v>0.04984953703703704</v>
      </c>
      <c r="G1341" s="21"/>
    </row>
    <row r="1342">
      <c r="A1342" s="4" t="s">
        <v>1273</v>
      </c>
      <c r="B1342" s="10">
        <v>3007731.0</v>
      </c>
      <c r="C1342" s="16" t="s">
        <v>1329</v>
      </c>
      <c r="D1342" s="12" t="s">
        <v>26</v>
      </c>
      <c r="E1342" s="13" t="s">
        <v>38</v>
      </c>
      <c r="F1342" s="14">
        <v>0.02474537037037037</v>
      </c>
      <c r="G1342" s="21"/>
    </row>
    <row r="1343">
      <c r="A1343" s="4" t="s">
        <v>1273</v>
      </c>
      <c r="B1343" s="10">
        <v>2865087.0</v>
      </c>
      <c r="C1343" s="16" t="s">
        <v>1330</v>
      </c>
      <c r="D1343" s="12" t="s">
        <v>26</v>
      </c>
      <c r="E1343" s="13" t="s">
        <v>15</v>
      </c>
      <c r="F1343" s="14">
        <v>0.028136574074074074</v>
      </c>
      <c r="G1343" s="21"/>
    </row>
    <row r="1344">
      <c r="A1344" s="4" t="s">
        <v>1273</v>
      </c>
      <c r="B1344" s="10">
        <v>2822683.0</v>
      </c>
      <c r="C1344" s="16" t="s">
        <v>36</v>
      </c>
      <c r="D1344" s="12" t="s">
        <v>26</v>
      </c>
      <c r="E1344" s="13" t="s">
        <v>15</v>
      </c>
      <c r="F1344" s="14">
        <v>0.010833333333333334</v>
      </c>
      <c r="G1344" s="21"/>
    </row>
    <row r="1345">
      <c r="A1345" s="4" t="s">
        <v>1273</v>
      </c>
      <c r="B1345" s="10">
        <v>2824379.0</v>
      </c>
      <c r="C1345" s="16" t="s">
        <v>1331</v>
      </c>
      <c r="D1345" s="12" t="s">
        <v>26</v>
      </c>
      <c r="E1345" s="13" t="s">
        <v>15</v>
      </c>
      <c r="F1345" s="14">
        <v>0.02185185185185185</v>
      </c>
      <c r="G1345" s="21"/>
    </row>
    <row r="1346">
      <c r="A1346" s="4" t="s">
        <v>1273</v>
      </c>
      <c r="B1346" s="10">
        <v>2836021.0</v>
      </c>
      <c r="C1346" s="16" t="s">
        <v>1332</v>
      </c>
      <c r="D1346" s="12" t="s">
        <v>26</v>
      </c>
      <c r="E1346" s="13" t="s">
        <v>15</v>
      </c>
      <c r="F1346" s="14">
        <v>0.03795138888888889</v>
      </c>
      <c r="G1346" s="21"/>
    </row>
    <row r="1347">
      <c r="A1347" s="4" t="s">
        <v>1273</v>
      </c>
      <c r="B1347" s="10">
        <v>2822422.0</v>
      </c>
      <c r="C1347" s="16" t="s">
        <v>1333</v>
      </c>
      <c r="D1347" s="12" t="s">
        <v>26</v>
      </c>
      <c r="E1347" s="13" t="s">
        <v>15</v>
      </c>
      <c r="F1347" s="14">
        <v>0.04137731481481482</v>
      </c>
      <c r="G1347" s="21"/>
    </row>
    <row r="1348">
      <c r="A1348" s="4" t="s">
        <v>1273</v>
      </c>
      <c r="B1348" s="10">
        <v>483102.0</v>
      </c>
      <c r="C1348" s="16" t="s">
        <v>1334</v>
      </c>
      <c r="D1348" s="12" t="s">
        <v>26</v>
      </c>
      <c r="E1348" s="13" t="s">
        <v>15</v>
      </c>
      <c r="F1348" s="14">
        <v>0.09143518518518519</v>
      </c>
      <c r="G1348" s="21"/>
    </row>
    <row r="1349">
      <c r="A1349" s="4" t="s">
        <v>1273</v>
      </c>
      <c r="B1349" s="10">
        <v>2814066.0</v>
      </c>
      <c r="C1349" s="16" t="s">
        <v>367</v>
      </c>
      <c r="D1349" s="12" t="s">
        <v>26</v>
      </c>
      <c r="E1349" s="13" t="s">
        <v>15</v>
      </c>
      <c r="F1349" s="14">
        <v>0.02802083333333333</v>
      </c>
      <c r="G1349" s="21"/>
    </row>
    <row r="1350">
      <c r="A1350" s="4" t="s">
        <v>1273</v>
      </c>
      <c r="B1350" s="10">
        <v>387349.0</v>
      </c>
      <c r="C1350" s="16" t="s">
        <v>83</v>
      </c>
      <c r="D1350" s="12" t="s">
        <v>26</v>
      </c>
      <c r="E1350" s="13" t="s">
        <v>26</v>
      </c>
      <c r="F1350" s="14">
        <v>0.033796296296296297</v>
      </c>
      <c r="G1350" s="21"/>
    </row>
    <row r="1351">
      <c r="A1351" s="4" t="s">
        <v>1273</v>
      </c>
      <c r="B1351" s="10">
        <v>2825124.0</v>
      </c>
      <c r="C1351" s="16" t="s">
        <v>224</v>
      </c>
      <c r="D1351" s="12" t="s">
        <v>26</v>
      </c>
      <c r="E1351" s="13" t="s">
        <v>15</v>
      </c>
      <c r="F1351" s="14">
        <v>0.039699074074074074</v>
      </c>
      <c r="G1351" s="21"/>
    </row>
    <row r="1352">
      <c r="A1352" s="4" t="s">
        <v>1273</v>
      </c>
      <c r="B1352" s="10">
        <v>2825499.0</v>
      </c>
      <c r="C1352" s="16" t="s">
        <v>1335</v>
      </c>
      <c r="D1352" s="12" t="s">
        <v>26</v>
      </c>
      <c r="E1352" s="13" t="s">
        <v>15</v>
      </c>
      <c r="F1352" s="14">
        <v>0.05576388888888889</v>
      </c>
      <c r="G1352" s="21"/>
    </row>
    <row r="1353">
      <c r="A1353" s="4" t="s">
        <v>1273</v>
      </c>
      <c r="B1353" s="10">
        <v>2822642.0</v>
      </c>
      <c r="C1353" s="16" t="s">
        <v>1058</v>
      </c>
      <c r="D1353" s="12" t="s">
        <v>26</v>
      </c>
      <c r="E1353" s="13" t="s">
        <v>15</v>
      </c>
      <c r="F1353" s="14">
        <v>0.024386574074074074</v>
      </c>
      <c r="G1353" s="21"/>
    </row>
    <row r="1354">
      <c r="A1354" s="4" t="s">
        <v>1273</v>
      </c>
      <c r="B1354" s="10">
        <v>2824374.0</v>
      </c>
      <c r="C1354" s="16" t="s">
        <v>1336</v>
      </c>
      <c r="D1354" s="12" t="s">
        <v>26</v>
      </c>
      <c r="E1354" s="13" t="s">
        <v>15</v>
      </c>
      <c r="F1354" s="14">
        <v>0.024583333333333332</v>
      </c>
      <c r="G1354" s="21"/>
    </row>
    <row r="1355">
      <c r="A1355" s="4" t="s">
        <v>1273</v>
      </c>
      <c r="B1355" s="10">
        <v>2836015.0</v>
      </c>
      <c r="C1355" s="16" t="s">
        <v>1262</v>
      </c>
      <c r="D1355" s="12" t="s">
        <v>26</v>
      </c>
      <c r="E1355" s="13" t="s">
        <v>15</v>
      </c>
      <c r="F1355" s="14">
        <v>0.021342592592592594</v>
      </c>
      <c r="G1355" s="21"/>
    </row>
    <row r="1356">
      <c r="A1356" s="4" t="s">
        <v>1273</v>
      </c>
      <c r="B1356" s="10">
        <v>2838146.0</v>
      </c>
      <c r="C1356" s="16" t="s">
        <v>1263</v>
      </c>
      <c r="D1356" s="12" t="s">
        <v>26</v>
      </c>
      <c r="E1356" s="13" t="s">
        <v>15</v>
      </c>
      <c r="F1356" s="14">
        <v>0.03200231481481482</v>
      </c>
      <c r="G1356" s="21"/>
    </row>
    <row r="1357">
      <c r="A1357" s="4" t="s">
        <v>1273</v>
      </c>
      <c r="B1357" s="10">
        <v>2837260.0</v>
      </c>
      <c r="C1357" s="16" t="s">
        <v>637</v>
      </c>
      <c r="D1357" s="12" t="s">
        <v>26</v>
      </c>
      <c r="E1357" s="13" t="s">
        <v>15</v>
      </c>
      <c r="F1357" s="14">
        <v>0.006631944444444445</v>
      </c>
      <c r="G1357" s="21"/>
    </row>
    <row r="1358">
      <c r="A1358" s="4" t="s">
        <v>1273</v>
      </c>
      <c r="B1358" s="10">
        <v>2823579.0</v>
      </c>
      <c r="C1358" s="16" t="s">
        <v>130</v>
      </c>
      <c r="D1358" s="12" t="s">
        <v>26</v>
      </c>
      <c r="E1358" s="13" t="s">
        <v>109</v>
      </c>
      <c r="F1358" s="14">
        <v>0.022662037037037036</v>
      </c>
      <c r="G1358" s="21"/>
    </row>
    <row r="1359">
      <c r="A1359" s="4" t="s">
        <v>1273</v>
      </c>
      <c r="B1359" s="10">
        <v>2831004.0</v>
      </c>
      <c r="C1359" s="16" t="s">
        <v>1337</v>
      </c>
      <c r="D1359" s="12" t="s">
        <v>26</v>
      </c>
      <c r="E1359" s="13" t="s">
        <v>109</v>
      </c>
      <c r="F1359" s="14">
        <v>0.02556712962962963</v>
      </c>
      <c r="G1359" s="21"/>
    </row>
    <row r="1360">
      <c r="A1360" s="4" t="s">
        <v>1273</v>
      </c>
      <c r="B1360" s="10">
        <v>512773.0</v>
      </c>
      <c r="C1360" s="16" t="s">
        <v>1338</v>
      </c>
      <c r="D1360" s="12" t="s">
        <v>26</v>
      </c>
      <c r="E1360" s="13" t="s">
        <v>26</v>
      </c>
      <c r="F1360" s="14">
        <v>0.015810185185185184</v>
      </c>
      <c r="G1360" s="21"/>
    </row>
    <row r="1361">
      <c r="A1361" s="4" t="s">
        <v>1273</v>
      </c>
      <c r="B1361" s="10">
        <v>458640.0</v>
      </c>
      <c r="C1361" s="11" t="s">
        <v>1339</v>
      </c>
      <c r="D1361" s="12" t="s">
        <v>26</v>
      </c>
      <c r="E1361" s="13" t="s">
        <v>26</v>
      </c>
      <c r="F1361" s="14">
        <v>0.04920138888888889</v>
      </c>
      <c r="G1361" s="21"/>
    </row>
    <row r="1362">
      <c r="A1362" s="4" t="s">
        <v>1273</v>
      </c>
      <c r="B1362" s="10">
        <v>2832037.0</v>
      </c>
      <c r="C1362" s="16" t="s">
        <v>422</v>
      </c>
      <c r="D1362" s="12" t="s">
        <v>26</v>
      </c>
      <c r="E1362" s="13" t="s">
        <v>26</v>
      </c>
      <c r="F1362" s="14">
        <v>0.012650462962962962</v>
      </c>
      <c r="G1362" s="21"/>
    </row>
    <row r="1363">
      <c r="A1363" s="4" t="s">
        <v>1273</v>
      </c>
      <c r="B1363" s="10">
        <v>2839075.0</v>
      </c>
      <c r="C1363" s="16" t="s">
        <v>1340</v>
      </c>
      <c r="D1363" s="12" t="s">
        <v>26</v>
      </c>
      <c r="E1363" s="13" t="s">
        <v>26</v>
      </c>
      <c r="F1363" s="14">
        <v>0.013599537037037037</v>
      </c>
      <c r="G1363" s="21"/>
    </row>
    <row r="1364">
      <c r="A1364" s="4" t="s">
        <v>1273</v>
      </c>
      <c r="B1364" s="10">
        <v>2849031.0</v>
      </c>
      <c r="C1364" s="16" t="s">
        <v>1341</v>
      </c>
      <c r="D1364" s="12" t="s">
        <v>26</v>
      </c>
      <c r="E1364" s="13" t="s">
        <v>26</v>
      </c>
      <c r="F1364" s="14">
        <v>0.07090277777777777</v>
      </c>
      <c r="G1364" s="21"/>
    </row>
    <row r="1365">
      <c r="A1365" s="4" t="s">
        <v>1273</v>
      </c>
      <c r="B1365" s="10">
        <v>2800408.0</v>
      </c>
      <c r="C1365" s="16" t="s">
        <v>1342</v>
      </c>
      <c r="D1365" s="12" t="s">
        <v>26</v>
      </c>
      <c r="E1365" s="13" t="s">
        <v>26</v>
      </c>
      <c r="F1365" s="14">
        <v>0.04358796296296296</v>
      </c>
      <c r="G1365" s="21"/>
    </row>
    <row r="1366">
      <c r="A1366" s="4" t="s">
        <v>1273</v>
      </c>
      <c r="B1366" s="10">
        <v>2841066.0</v>
      </c>
      <c r="C1366" s="16" t="s">
        <v>318</v>
      </c>
      <c r="D1366" s="12" t="s">
        <v>26</v>
      </c>
      <c r="E1366" s="13" t="s">
        <v>26</v>
      </c>
      <c r="F1366" s="14">
        <v>0.021770833333333333</v>
      </c>
      <c r="G1366" s="21"/>
    </row>
    <row r="1367">
      <c r="A1367" s="4" t="s">
        <v>1273</v>
      </c>
      <c r="B1367" s="10">
        <v>2894042.0</v>
      </c>
      <c r="C1367" s="16" t="s">
        <v>284</v>
      </c>
      <c r="D1367" s="12" t="s">
        <v>26</v>
      </c>
      <c r="E1367" s="13" t="s">
        <v>26</v>
      </c>
      <c r="F1367" s="14">
        <v>0.021527777777777778</v>
      </c>
      <c r="G1367" s="21"/>
    </row>
    <row r="1368">
      <c r="A1368" s="4" t="s">
        <v>1273</v>
      </c>
      <c r="B1368" s="10">
        <v>2883251.0</v>
      </c>
      <c r="C1368" s="16" t="s">
        <v>1343</v>
      </c>
      <c r="D1368" s="12" t="s">
        <v>26</v>
      </c>
      <c r="E1368" s="13" t="s">
        <v>26</v>
      </c>
      <c r="F1368" s="14">
        <v>0.01605324074074074</v>
      </c>
      <c r="G1368" s="21"/>
    </row>
    <row r="1369">
      <c r="A1369" s="4" t="s">
        <v>1344</v>
      </c>
      <c r="B1369" s="5" t="s">
        <v>8</v>
      </c>
      <c r="C1369" s="6" t="s">
        <v>9</v>
      </c>
      <c r="D1369" s="7" t="s">
        <v>3</v>
      </c>
      <c r="E1369" s="7" t="s">
        <v>10</v>
      </c>
      <c r="F1369" s="8" t="s">
        <v>11</v>
      </c>
      <c r="G1369" s="9" t="s">
        <v>12</v>
      </c>
    </row>
    <row r="1370">
      <c r="A1370" s="4" t="s">
        <v>1344</v>
      </c>
      <c r="B1370" s="10">
        <v>772318.0</v>
      </c>
      <c r="C1370" s="16" t="s">
        <v>1284</v>
      </c>
      <c r="D1370" s="12" t="s">
        <v>14</v>
      </c>
      <c r="E1370" s="13" t="s">
        <v>109</v>
      </c>
      <c r="F1370" s="14">
        <v>0.07532407407407407</v>
      </c>
      <c r="G1370" s="15" t="s">
        <v>1345</v>
      </c>
    </row>
    <row r="1371">
      <c r="A1371" s="4" t="s">
        <v>1344</v>
      </c>
      <c r="B1371" s="10">
        <v>580628.0</v>
      </c>
      <c r="C1371" s="16" t="s">
        <v>111</v>
      </c>
      <c r="D1371" s="12" t="s">
        <v>14</v>
      </c>
      <c r="E1371" s="13" t="s">
        <v>38</v>
      </c>
      <c r="F1371" s="14">
        <v>0.03782407407407407</v>
      </c>
      <c r="G1371" s="15" t="s">
        <v>1346</v>
      </c>
    </row>
    <row r="1372">
      <c r="A1372" s="4" t="s">
        <v>1344</v>
      </c>
      <c r="B1372" s="10">
        <v>664805.0</v>
      </c>
      <c r="C1372" s="16" t="s">
        <v>117</v>
      </c>
      <c r="D1372" s="12" t="s">
        <v>14</v>
      </c>
      <c r="E1372" s="13" t="s">
        <v>15</v>
      </c>
      <c r="F1372" s="14">
        <v>0.03311342592592593</v>
      </c>
      <c r="G1372" s="15" t="s">
        <v>1347</v>
      </c>
    </row>
    <row r="1373">
      <c r="A1373" s="4" t="s">
        <v>1344</v>
      </c>
      <c r="B1373" s="10">
        <v>536419.0</v>
      </c>
      <c r="C1373" s="16" t="s">
        <v>1348</v>
      </c>
      <c r="D1373" s="12" t="s">
        <v>18</v>
      </c>
      <c r="E1373" s="13" t="s">
        <v>38</v>
      </c>
      <c r="F1373" s="14">
        <v>0.02732638888888889</v>
      </c>
      <c r="G1373" s="29" t="s">
        <v>298</v>
      </c>
    </row>
    <row r="1374">
      <c r="A1374" s="4" t="s">
        <v>1344</v>
      </c>
      <c r="B1374" s="10">
        <v>2825161.0</v>
      </c>
      <c r="C1374" s="16" t="s">
        <v>23</v>
      </c>
      <c r="D1374" s="12" t="s">
        <v>18</v>
      </c>
      <c r="E1374" s="13" t="s">
        <v>19</v>
      </c>
      <c r="F1374" s="14">
        <v>0.023680555555555555</v>
      </c>
      <c r="G1374" s="29" t="s">
        <v>1349</v>
      </c>
    </row>
    <row r="1375">
      <c r="A1375" s="4" t="s">
        <v>1344</v>
      </c>
      <c r="B1375" s="10">
        <v>672234.0</v>
      </c>
      <c r="C1375" s="16" t="s">
        <v>1350</v>
      </c>
      <c r="D1375" s="12" t="s">
        <v>18</v>
      </c>
      <c r="E1375" s="13" t="s">
        <v>15</v>
      </c>
      <c r="F1375" s="14">
        <v>0.020902777777777777</v>
      </c>
      <c r="G1375" s="17" t="s">
        <v>167</v>
      </c>
    </row>
    <row r="1376">
      <c r="A1376" s="4" t="s">
        <v>1344</v>
      </c>
      <c r="B1376" s="10">
        <v>700792.0</v>
      </c>
      <c r="C1376" s="16" t="s">
        <v>234</v>
      </c>
      <c r="D1376" s="12" t="s">
        <v>18</v>
      </c>
      <c r="E1376" s="13" t="s">
        <v>15</v>
      </c>
      <c r="F1376" s="14">
        <v>0.025138888888888888</v>
      </c>
      <c r="G1376" s="17" t="s">
        <v>1351</v>
      </c>
    </row>
    <row r="1377">
      <c r="A1377" s="4" t="s">
        <v>1344</v>
      </c>
      <c r="B1377" s="10">
        <v>565364.0</v>
      </c>
      <c r="C1377" s="16" t="s">
        <v>173</v>
      </c>
      <c r="D1377" s="12" t="s">
        <v>18</v>
      </c>
      <c r="E1377" s="13" t="s">
        <v>15</v>
      </c>
      <c r="F1377" s="14">
        <v>0.01412037037037037</v>
      </c>
      <c r="G1377" s="17" t="s">
        <v>1352</v>
      </c>
    </row>
    <row r="1378">
      <c r="A1378" s="4" t="s">
        <v>1344</v>
      </c>
      <c r="B1378" s="10">
        <v>3107154.0</v>
      </c>
      <c r="C1378" s="16" t="s">
        <v>1353</v>
      </c>
      <c r="D1378" s="12" t="s">
        <v>18</v>
      </c>
      <c r="E1378" s="13" t="s">
        <v>15</v>
      </c>
      <c r="F1378" s="14">
        <v>0.021064814814814814</v>
      </c>
      <c r="G1378" s="17" t="s">
        <v>169</v>
      </c>
    </row>
    <row r="1379">
      <c r="A1379" s="4" t="s">
        <v>1344</v>
      </c>
      <c r="B1379" s="10">
        <v>456353.0</v>
      </c>
      <c r="C1379" s="16" t="s">
        <v>175</v>
      </c>
      <c r="D1379" s="12" t="s">
        <v>34</v>
      </c>
      <c r="E1379" s="13" t="s">
        <v>38</v>
      </c>
      <c r="F1379" s="14">
        <v>0.03857638888888889</v>
      </c>
      <c r="G1379" s="17" t="s">
        <v>116</v>
      </c>
    </row>
    <row r="1380">
      <c r="A1380" s="4" t="s">
        <v>1344</v>
      </c>
      <c r="B1380" s="10">
        <v>2822314.0</v>
      </c>
      <c r="C1380" s="16" t="s">
        <v>178</v>
      </c>
      <c r="D1380" s="12" t="s">
        <v>34</v>
      </c>
      <c r="E1380" s="13" t="s">
        <v>38</v>
      </c>
      <c r="F1380" s="14">
        <v>0.01792824074074074</v>
      </c>
      <c r="G1380" s="21"/>
    </row>
    <row r="1381">
      <c r="A1381" s="4" t="s">
        <v>1344</v>
      </c>
      <c r="B1381" s="10">
        <v>2824174.0</v>
      </c>
      <c r="C1381" s="16" t="s">
        <v>1354</v>
      </c>
      <c r="D1381" s="12" t="s">
        <v>34</v>
      </c>
      <c r="E1381" s="13" t="s">
        <v>38</v>
      </c>
      <c r="F1381" s="14">
        <v>0.01894675925925926</v>
      </c>
      <c r="G1381" s="22"/>
    </row>
    <row r="1382">
      <c r="A1382" s="4" t="s">
        <v>1344</v>
      </c>
      <c r="B1382" s="10">
        <v>2823296.0</v>
      </c>
      <c r="C1382" s="16" t="s">
        <v>1301</v>
      </c>
      <c r="D1382" s="12" t="s">
        <v>34</v>
      </c>
      <c r="E1382" s="13" t="s">
        <v>38</v>
      </c>
      <c r="F1382" s="14">
        <v>0.09167824074074074</v>
      </c>
      <c r="G1382" s="21"/>
    </row>
    <row r="1383">
      <c r="A1383" s="4" t="s">
        <v>1344</v>
      </c>
      <c r="B1383" s="10">
        <v>2823297.0</v>
      </c>
      <c r="C1383" s="16" t="s">
        <v>176</v>
      </c>
      <c r="D1383" s="12" t="s">
        <v>34</v>
      </c>
      <c r="E1383" s="13" t="s">
        <v>38</v>
      </c>
      <c r="F1383" s="14">
        <v>0.06542824074074075</v>
      </c>
      <c r="G1383" s="22"/>
    </row>
    <row r="1384">
      <c r="A1384" s="4" t="s">
        <v>1344</v>
      </c>
      <c r="B1384" s="10">
        <v>2880017.0</v>
      </c>
      <c r="C1384" s="16" t="s">
        <v>1355</v>
      </c>
      <c r="D1384" s="12" t="s">
        <v>34</v>
      </c>
      <c r="E1384" s="13" t="s">
        <v>38</v>
      </c>
      <c r="F1384" s="14">
        <v>0.026539351851851852</v>
      </c>
      <c r="G1384" s="22"/>
    </row>
    <row r="1385">
      <c r="A1385" s="4" t="s">
        <v>1344</v>
      </c>
      <c r="B1385" s="10">
        <v>3155788.0</v>
      </c>
      <c r="C1385" s="16" t="s">
        <v>1356</v>
      </c>
      <c r="D1385" s="12" t="s">
        <v>34</v>
      </c>
      <c r="E1385" s="13" t="s">
        <v>38</v>
      </c>
      <c r="F1385" s="14">
        <v>0.1119212962962963</v>
      </c>
      <c r="G1385" s="29"/>
    </row>
    <row r="1386">
      <c r="A1386" s="4" t="s">
        <v>1344</v>
      </c>
      <c r="B1386" s="10">
        <v>2424735.0</v>
      </c>
      <c r="C1386" s="16" t="s">
        <v>180</v>
      </c>
      <c r="D1386" s="12" t="s">
        <v>34</v>
      </c>
      <c r="E1386" s="13" t="s">
        <v>38</v>
      </c>
      <c r="F1386" s="14">
        <v>0.03719907407407407</v>
      </c>
      <c r="G1386" s="29"/>
    </row>
    <row r="1387">
      <c r="A1387" s="4" t="s">
        <v>1344</v>
      </c>
      <c r="B1387" s="10">
        <v>696328.0</v>
      </c>
      <c r="C1387" s="16" t="s">
        <v>1357</v>
      </c>
      <c r="D1387" s="12" t="s">
        <v>34</v>
      </c>
      <c r="E1387" s="13" t="s">
        <v>19</v>
      </c>
      <c r="F1387" s="14">
        <v>0.041747685185185186</v>
      </c>
      <c r="G1387" s="17"/>
    </row>
    <row r="1388">
      <c r="A1388" s="4" t="s">
        <v>1344</v>
      </c>
      <c r="B1388" s="10">
        <v>5015865.0</v>
      </c>
      <c r="C1388" s="16" t="s">
        <v>1358</v>
      </c>
      <c r="D1388" s="12" t="s">
        <v>34</v>
      </c>
      <c r="E1388" s="13" t="s">
        <v>19</v>
      </c>
      <c r="F1388" s="14">
        <v>0.01369212962962963</v>
      </c>
      <c r="G1388" s="17"/>
    </row>
    <row r="1389">
      <c r="A1389" s="4" t="s">
        <v>1344</v>
      </c>
      <c r="B1389" s="10">
        <v>2825332.0</v>
      </c>
      <c r="C1389" s="16" t="s">
        <v>182</v>
      </c>
      <c r="D1389" s="12" t="s">
        <v>34</v>
      </c>
      <c r="E1389" s="13" t="s">
        <v>19</v>
      </c>
      <c r="F1389" s="14">
        <v>0.022650462962962963</v>
      </c>
      <c r="G1389" s="17"/>
    </row>
    <row r="1390">
      <c r="A1390" s="4" t="s">
        <v>1344</v>
      </c>
      <c r="B1390" s="10">
        <v>802842.0</v>
      </c>
      <c r="C1390" s="16" t="s">
        <v>183</v>
      </c>
      <c r="D1390" s="12" t="s">
        <v>34</v>
      </c>
      <c r="E1390" s="13" t="s">
        <v>19</v>
      </c>
      <c r="F1390" s="14">
        <v>0.03754629629629629</v>
      </c>
      <c r="G1390" s="17"/>
    </row>
    <row r="1391">
      <c r="A1391" s="4" t="s">
        <v>1344</v>
      </c>
      <c r="B1391" s="10">
        <v>721911.0</v>
      </c>
      <c r="C1391" s="11" t="s">
        <v>1359</v>
      </c>
      <c r="D1391" s="12" t="s">
        <v>34</v>
      </c>
      <c r="E1391" s="13" t="s">
        <v>19</v>
      </c>
      <c r="F1391" s="14">
        <v>0.08665509259259259</v>
      </c>
      <c r="G1391" s="17"/>
    </row>
    <row r="1392">
      <c r="A1392" s="4" t="s">
        <v>1344</v>
      </c>
      <c r="B1392" s="10">
        <v>746304.0</v>
      </c>
      <c r="C1392" s="16" t="s">
        <v>1360</v>
      </c>
      <c r="D1392" s="12" t="s">
        <v>34</v>
      </c>
      <c r="E1392" s="13" t="s">
        <v>19</v>
      </c>
      <c r="F1392" s="14">
        <v>0.04980324074074074</v>
      </c>
      <c r="G1392" s="21"/>
    </row>
    <row r="1393">
      <c r="A1393" s="4" t="s">
        <v>1344</v>
      </c>
      <c r="B1393" s="10">
        <v>664803.0</v>
      </c>
      <c r="C1393" s="16" t="s">
        <v>1015</v>
      </c>
      <c r="D1393" s="12" t="s">
        <v>34</v>
      </c>
      <c r="E1393" s="13" t="s">
        <v>19</v>
      </c>
      <c r="F1393" s="14">
        <v>0.03516203703703704</v>
      </c>
      <c r="G1393" s="21"/>
    </row>
    <row r="1394">
      <c r="A1394" s="4" t="s">
        <v>1344</v>
      </c>
      <c r="B1394" s="10">
        <v>688508.0</v>
      </c>
      <c r="C1394" s="16" t="s">
        <v>185</v>
      </c>
      <c r="D1394" s="12" t="s">
        <v>34</v>
      </c>
      <c r="E1394" s="13" t="s">
        <v>19</v>
      </c>
      <c r="F1394" s="14">
        <v>0.032337962962962964</v>
      </c>
      <c r="G1394" s="21"/>
    </row>
    <row r="1395">
      <c r="A1395" s="4" t="s">
        <v>1344</v>
      </c>
      <c r="B1395" s="10">
        <v>2835013.0</v>
      </c>
      <c r="C1395" s="16" t="s">
        <v>1249</v>
      </c>
      <c r="D1395" s="12" t="s">
        <v>34</v>
      </c>
      <c r="E1395" s="13" t="s">
        <v>19</v>
      </c>
      <c r="F1395" s="14">
        <v>0.038657407407407404</v>
      </c>
      <c r="G1395" s="21"/>
    </row>
    <row r="1396">
      <c r="A1396" s="4" t="s">
        <v>1344</v>
      </c>
      <c r="B1396" s="10">
        <v>3107153.0</v>
      </c>
      <c r="C1396" s="16" t="s">
        <v>1361</v>
      </c>
      <c r="D1396" s="12" t="s">
        <v>34</v>
      </c>
      <c r="E1396" s="13" t="s">
        <v>19</v>
      </c>
      <c r="F1396" s="14">
        <v>0.019398148148148147</v>
      </c>
      <c r="G1396" s="21"/>
    </row>
    <row r="1397">
      <c r="A1397" s="4" t="s">
        <v>1344</v>
      </c>
      <c r="B1397" s="10">
        <v>3107152.0</v>
      </c>
      <c r="C1397" s="16" t="s">
        <v>1362</v>
      </c>
      <c r="D1397" s="12" t="s">
        <v>34</v>
      </c>
      <c r="E1397" s="13" t="s">
        <v>19</v>
      </c>
      <c r="F1397" s="14">
        <v>0.019710648148148147</v>
      </c>
      <c r="G1397" s="21"/>
    </row>
    <row r="1398">
      <c r="A1398" s="4" t="s">
        <v>1344</v>
      </c>
      <c r="B1398" s="10">
        <v>2896916.0</v>
      </c>
      <c r="C1398" s="16" t="s">
        <v>1363</v>
      </c>
      <c r="D1398" s="12" t="s">
        <v>34</v>
      </c>
      <c r="E1398" s="13" t="s">
        <v>19</v>
      </c>
      <c r="F1398" s="14">
        <v>0.01986111111111111</v>
      </c>
      <c r="G1398" s="21"/>
    </row>
    <row r="1399">
      <c r="A1399" s="4" t="s">
        <v>1344</v>
      </c>
      <c r="B1399" s="10">
        <v>2423650.0</v>
      </c>
      <c r="C1399" s="16" t="s">
        <v>1364</v>
      </c>
      <c r="D1399" s="12" t="s">
        <v>34</v>
      </c>
      <c r="E1399" s="13" t="s">
        <v>19</v>
      </c>
      <c r="F1399" s="14">
        <v>0.027916666666666666</v>
      </c>
      <c r="G1399" s="21"/>
    </row>
    <row r="1400">
      <c r="A1400" s="4" t="s">
        <v>1344</v>
      </c>
      <c r="B1400" s="10">
        <v>693069.0</v>
      </c>
      <c r="C1400" s="16" t="s">
        <v>1365</v>
      </c>
      <c r="D1400" s="12" t="s">
        <v>34</v>
      </c>
      <c r="E1400" s="13" t="s">
        <v>26</v>
      </c>
      <c r="F1400" s="14">
        <v>0.024212962962962964</v>
      </c>
      <c r="G1400" s="21"/>
    </row>
    <row r="1401">
      <c r="A1401" s="4" t="s">
        <v>1344</v>
      </c>
      <c r="B1401" s="10">
        <v>5038200.0</v>
      </c>
      <c r="C1401" s="16" t="s">
        <v>1366</v>
      </c>
      <c r="D1401" s="12" t="s">
        <v>34</v>
      </c>
      <c r="E1401" s="13" t="s">
        <v>26</v>
      </c>
      <c r="F1401" s="14">
        <v>0.022534722222222223</v>
      </c>
      <c r="G1401" s="21"/>
    </row>
    <row r="1402">
      <c r="A1402" s="4" t="s">
        <v>1344</v>
      </c>
      <c r="B1402" s="10">
        <v>645011.0</v>
      </c>
      <c r="C1402" s="16" t="s">
        <v>1367</v>
      </c>
      <c r="D1402" s="12" t="s">
        <v>34</v>
      </c>
      <c r="E1402" s="13" t="s">
        <v>15</v>
      </c>
      <c r="F1402" s="14">
        <v>0.032824074074074075</v>
      </c>
      <c r="G1402" s="21"/>
    </row>
    <row r="1403">
      <c r="A1403" s="4" t="s">
        <v>1344</v>
      </c>
      <c r="B1403" s="10">
        <v>197201.0</v>
      </c>
      <c r="C1403" s="16" t="s">
        <v>1368</v>
      </c>
      <c r="D1403" s="12" t="s">
        <v>34</v>
      </c>
      <c r="E1403" s="13" t="s">
        <v>15</v>
      </c>
      <c r="F1403" s="14">
        <v>0.05016203703703704</v>
      </c>
      <c r="G1403" s="21"/>
    </row>
    <row r="1404">
      <c r="A1404" s="4" t="s">
        <v>1344</v>
      </c>
      <c r="B1404" s="10">
        <v>737756.0</v>
      </c>
      <c r="C1404" s="16" t="s">
        <v>189</v>
      </c>
      <c r="D1404" s="12" t="s">
        <v>34</v>
      </c>
      <c r="E1404" s="13" t="s">
        <v>15</v>
      </c>
      <c r="F1404" s="14">
        <v>0.03671296296296296</v>
      </c>
      <c r="G1404" s="21"/>
    </row>
    <row r="1405">
      <c r="A1405" s="4" t="s">
        <v>1344</v>
      </c>
      <c r="B1405" s="10">
        <v>656781.0</v>
      </c>
      <c r="C1405" s="16" t="s">
        <v>190</v>
      </c>
      <c r="D1405" s="12" t="s">
        <v>34</v>
      </c>
      <c r="E1405" s="13" t="s">
        <v>15</v>
      </c>
      <c r="F1405" s="14">
        <v>0.03</v>
      </c>
      <c r="G1405" s="21"/>
    </row>
    <row r="1406">
      <c r="A1406" s="4" t="s">
        <v>1344</v>
      </c>
      <c r="B1406" s="10">
        <v>175129.0</v>
      </c>
      <c r="C1406" s="16" t="s">
        <v>191</v>
      </c>
      <c r="D1406" s="12" t="s">
        <v>34</v>
      </c>
      <c r="E1406" s="13" t="s">
        <v>15</v>
      </c>
      <c r="F1406" s="14">
        <v>0.017361111111111112</v>
      </c>
      <c r="G1406" s="21"/>
    </row>
    <row r="1407">
      <c r="A1407" s="4" t="s">
        <v>1344</v>
      </c>
      <c r="B1407" s="10">
        <v>746305.0</v>
      </c>
      <c r="C1407" s="16" t="s">
        <v>407</v>
      </c>
      <c r="D1407" s="12" t="s">
        <v>34</v>
      </c>
      <c r="E1407" s="13" t="s">
        <v>15</v>
      </c>
      <c r="F1407" s="14">
        <v>0.04052083333333333</v>
      </c>
      <c r="G1407" s="21"/>
    </row>
    <row r="1408">
      <c r="A1408" s="4" t="s">
        <v>1344</v>
      </c>
      <c r="B1408" s="10">
        <v>2802024.0</v>
      </c>
      <c r="C1408" s="16" t="s">
        <v>1312</v>
      </c>
      <c r="D1408" s="12" t="s">
        <v>34</v>
      </c>
      <c r="E1408" s="13" t="s">
        <v>15</v>
      </c>
      <c r="F1408" s="14">
        <v>0.046168981481481484</v>
      </c>
      <c r="G1408" s="21"/>
    </row>
    <row r="1409">
      <c r="A1409" s="4" t="s">
        <v>1344</v>
      </c>
      <c r="B1409" s="10">
        <v>2822159.0</v>
      </c>
      <c r="C1409" s="16" t="s">
        <v>197</v>
      </c>
      <c r="D1409" s="12" t="s">
        <v>34</v>
      </c>
      <c r="E1409" s="13" t="s">
        <v>15</v>
      </c>
      <c r="F1409" s="14">
        <v>0.01837962962962963</v>
      </c>
      <c r="G1409" s="21"/>
    </row>
    <row r="1410">
      <c r="A1410" s="4" t="s">
        <v>1344</v>
      </c>
      <c r="B1410" s="10">
        <v>2228264.0</v>
      </c>
      <c r="C1410" s="16" t="s">
        <v>196</v>
      </c>
      <c r="D1410" s="12" t="s">
        <v>34</v>
      </c>
      <c r="E1410" s="13" t="s">
        <v>15</v>
      </c>
      <c r="F1410" s="14">
        <v>0.04111111111111111</v>
      </c>
      <c r="G1410" s="21"/>
    </row>
    <row r="1411">
      <c r="A1411" s="4" t="s">
        <v>1344</v>
      </c>
      <c r="B1411" s="10">
        <v>2820016.0</v>
      </c>
      <c r="C1411" s="16" t="s">
        <v>198</v>
      </c>
      <c r="D1411" s="12" t="s">
        <v>34</v>
      </c>
      <c r="E1411" s="13" t="s">
        <v>15</v>
      </c>
      <c r="F1411" s="14">
        <v>0.030428240740740742</v>
      </c>
      <c r="G1411" s="21"/>
    </row>
    <row r="1412">
      <c r="A1412" s="4" t="s">
        <v>1344</v>
      </c>
      <c r="B1412" s="10">
        <v>2885092.0</v>
      </c>
      <c r="C1412" s="16" t="s">
        <v>1369</v>
      </c>
      <c r="D1412" s="12" t="s">
        <v>34</v>
      </c>
      <c r="E1412" s="13" t="s">
        <v>15</v>
      </c>
      <c r="F1412" s="14">
        <v>0.05008101851851852</v>
      </c>
      <c r="G1412" s="21"/>
    </row>
    <row r="1413">
      <c r="A1413" s="4" t="s">
        <v>1344</v>
      </c>
      <c r="B1413" s="10">
        <v>2882043.0</v>
      </c>
      <c r="C1413" s="16" t="s">
        <v>1370</v>
      </c>
      <c r="D1413" s="12" t="s">
        <v>34</v>
      </c>
      <c r="E1413" s="13" t="s">
        <v>15</v>
      </c>
      <c r="F1413" s="14">
        <v>0.05641203703703704</v>
      </c>
      <c r="G1413" s="21"/>
    </row>
    <row r="1414">
      <c r="A1414" s="4" t="s">
        <v>1344</v>
      </c>
      <c r="B1414" s="10">
        <v>2889112.0</v>
      </c>
      <c r="C1414" s="16" t="s">
        <v>1371</v>
      </c>
      <c r="D1414" s="12" t="s">
        <v>34</v>
      </c>
      <c r="E1414" s="13" t="s">
        <v>15</v>
      </c>
      <c r="F1414" s="14">
        <v>0.04804398148148148</v>
      </c>
      <c r="G1414" s="21"/>
    </row>
    <row r="1415">
      <c r="A1415" s="4" t="s">
        <v>1344</v>
      </c>
      <c r="B1415" s="10">
        <v>2888109.0</v>
      </c>
      <c r="C1415" s="16" t="s">
        <v>33</v>
      </c>
      <c r="D1415" s="12" t="s">
        <v>34</v>
      </c>
      <c r="E1415" s="13" t="s">
        <v>15</v>
      </c>
      <c r="F1415" s="14">
        <v>0.039907407407407405</v>
      </c>
      <c r="G1415" s="21"/>
    </row>
    <row r="1416">
      <c r="A1416" s="4" t="s">
        <v>1344</v>
      </c>
      <c r="B1416" s="10">
        <v>2423648.0</v>
      </c>
      <c r="C1416" s="16" t="s">
        <v>1372</v>
      </c>
      <c r="D1416" s="12" t="s">
        <v>34</v>
      </c>
      <c r="E1416" s="13" t="s">
        <v>15</v>
      </c>
      <c r="F1416" s="14">
        <v>0.016666666666666666</v>
      </c>
      <c r="G1416" s="21"/>
    </row>
    <row r="1417">
      <c r="A1417" s="4" t="s">
        <v>1344</v>
      </c>
      <c r="B1417" s="10">
        <v>2885131.0</v>
      </c>
      <c r="C1417" s="16" t="s">
        <v>1373</v>
      </c>
      <c r="D1417" s="12" t="s">
        <v>34</v>
      </c>
      <c r="E1417" s="13" t="s">
        <v>15</v>
      </c>
      <c r="F1417" s="14">
        <v>0.03260416666666666</v>
      </c>
      <c r="G1417" s="21"/>
    </row>
    <row r="1418">
      <c r="A1418" s="4" t="s">
        <v>1344</v>
      </c>
      <c r="B1418" s="10">
        <v>2880061.0</v>
      </c>
      <c r="C1418" s="16" t="s">
        <v>1374</v>
      </c>
      <c r="D1418" s="12" t="s">
        <v>31</v>
      </c>
      <c r="E1418" s="13" t="s">
        <v>15</v>
      </c>
      <c r="F1418" s="14">
        <v>0.03815972222222222</v>
      </c>
      <c r="G1418" s="21"/>
    </row>
    <row r="1419">
      <c r="A1419" s="4" t="s">
        <v>1344</v>
      </c>
      <c r="B1419" s="10">
        <v>647657.0</v>
      </c>
      <c r="C1419" s="16" t="s">
        <v>216</v>
      </c>
      <c r="D1419" s="12" t="s">
        <v>26</v>
      </c>
      <c r="E1419" s="13" t="s">
        <v>26</v>
      </c>
      <c r="F1419" s="14">
        <v>0.027175925925925926</v>
      </c>
      <c r="G1419" s="21"/>
    </row>
    <row r="1420">
      <c r="A1420" s="4" t="s">
        <v>1344</v>
      </c>
      <c r="B1420" s="10">
        <v>746303.0</v>
      </c>
      <c r="C1420" s="16" t="s">
        <v>420</v>
      </c>
      <c r="D1420" s="12" t="s">
        <v>26</v>
      </c>
      <c r="E1420" s="13" t="s">
        <v>26</v>
      </c>
      <c r="F1420" s="14">
        <v>0.04663194444444444</v>
      </c>
      <c r="G1420" s="21"/>
    </row>
    <row r="1421">
      <c r="A1421" s="4" t="s">
        <v>1344</v>
      </c>
      <c r="B1421" s="10">
        <v>2825706.0</v>
      </c>
      <c r="C1421" s="16" t="s">
        <v>1375</v>
      </c>
      <c r="D1421" s="12" t="s">
        <v>26</v>
      </c>
      <c r="E1421" s="13" t="s">
        <v>38</v>
      </c>
      <c r="F1421" s="14">
        <v>0.07284722222222222</v>
      </c>
      <c r="G1421" s="21"/>
    </row>
    <row r="1422">
      <c r="A1422" s="4" t="s">
        <v>1344</v>
      </c>
      <c r="B1422" s="10">
        <v>2834000.0</v>
      </c>
      <c r="C1422" s="16" t="s">
        <v>1325</v>
      </c>
      <c r="D1422" s="12" t="s">
        <v>26</v>
      </c>
      <c r="E1422" s="13" t="s">
        <v>38</v>
      </c>
      <c r="F1422" s="14">
        <v>0.029988425925925925</v>
      </c>
      <c r="G1422" s="21"/>
    </row>
    <row r="1423">
      <c r="A1423" s="4" t="s">
        <v>1344</v>
      </c>
      <c r="B1423" s="10">
        <v>2839044.0</v>
      </c>
      <c r="C1423" s="16" t="s">
        <v>60</v>
      </c>
      <c r="D1423" s="12" t="s">
        <v>26</v>
      </c>
      <c r="E1423" s="13" t="s">
        <v>38</v>
      </c>
      <c r="F1423" s="14">
        <v>0.00931712962962963</v>
      </c>
      <c r="G1423" s="21"/>
    </row>
    <row r="1424">
      <c r="A1424" s="4" t="s">
        <v>1344</v>
      </c>
      <c r="B1424" s="10">
        <v>2874216.0</v>
      </c>
      <c r="C1424" s="16" t="s">
        <v>1376</v>
      </c>
      <c r="D1424" s="12" t="s">
        <v>26</v>
      </c>
      <c r="E1424" s="13" t="s">
        <v>38</v>
      </c>
      <c r="F1424" s="14">
        <v>0.02375</v>
      </c>
      <c r="G1424" s="21"/>
    </row>
    <row r="1425">
      <c r="A1425" s="4" t="s">
        <v>1344</v>
      </c>
      <c r="B1425" s="10">
        <v>2426609.0</v>
      </c>
      <c r="C1425" s="16" t="s">
        <v>215</v>
      </c>
      <c r="D1425" s="12" t="s">
        <v>26</v>
      </c>
      <c r="E1425" s="13" t="s">
        <v>38</v>
      </c>
      <c r="F1425" s="14">
        <v>0.009652777777777777</v>
      </c>
      <c r="G1425" s="21"/>
    </row>
    <row r="1426">
      <c r="A1426" s="4" t="s">
        <v>1344</v>
      </c>
      <c r="B1426" s="10">
        <v>2888118.0</v>
      </c>
      <c r="C1426" s="16" t="s">
        <v>214</v>
      </c>
      <c r="D1426" s="12" t="s">
        <v>26</v>
      </c>
      <c r="E1426" s="13" t="s">
        <v>38</v>
      </c>
      <c r="F1426" s="14">
        <v>0.023240740740740742</v>
      </c>
      <c r="G1426" s="21"/>
    </row>
    <row r="1427">
      <c r="A1427" s="4" t="s">
        <v>1344</v>
      </c>
      <c r="B1427" s="10">
        <v>2822414.0</v>
      </c>
      <c r="C1427" s="16" t="s">
        <v>1377</v>
      </c>
      <c r="D1427" s="12" t="s">
        <v>26</v>
      </c>
      <c r="E1427" s="13" t="s">
        <v>19</v>
      </c>
      <c r="F1427" s="14">
        <v>0.052395833333333336</v>
      </c>
      <c r="G1427" s="21"/>
    </row>
    <row r="1428">
      <c r="A1428" s="4" t="s">
        <v>1344</v>
      </c>
      <c r="B1428" s="10">
        <v>2825489.0</v>
      </c>
      <c r="C1428" s="16" t="s">
        <v>1378</v>
      </c>
      <c r="D1428" s="12" t="s">
        <v>26</v>
      </c>
      <c r="E1428" s="13" t="s">
        <v>19</v>
      </c>
      <c r="F1428" s="14">
        <v>0.02582175925925926</v>
      </c>
      <c r="G1428" s="21"/>
    </row>
    <row r="1429">
      <c r="A1429" s="4" t="s">
        <v>1344</v>
      </c>
      <c r="B1429" s="10">
        <v>808667.0</v>
      </c>
      <c r="C1429" s="16" t="s">
        <v>1379</v>
      </c>
      <c r="D1429" s="12" t="s">
        <v>26</v>
      </c>
      <c r="E1429" s="13" t="s">
        <v>15</v>
      </c>
      <c r="F1429" s="14">
        <v>0.04760416666666667</v>
      </c>
      <c r="G1429" s="21"/>
    </row>
    <row r="1430">
      <c r="A1430" s="4" t="s">
        <v>1344</v>
      </c>
      <c r="B1430" s="10">
        <v>2824374.0</v>
      </c>
      <c r="C1430" s="16" t="s">
        <v>1336</v>
      </c>
      <c r="D1430" s="12" t="s">
        <v>26</v>
      </c>
      <c r="E1430" s="13" t="s">
        <v>15</v>
      </c>
      <c r="F1430" s="14">
        <v>0.024583333333333332</v>
      </c>
      <c r="G1430" s="21"/>
    </row>
    <row r="1431">
      <c r="A1431" s="4" t="s">
        <v>1344</v>
      </c>
      <c r="B1431" s="10">
        <v>2837260.0</v>
      </c>
      <c r="C1431" s="16" t="s">
        <v>637</v>
      </c>
      <c r="D1431" s="12" t="s">
        <v>26</v>
      </c>
      <c r="E1431" s="13" t="s">
        <v>15</v>
      </c>
      <c r="F1431" s="14">
        <v>0.006631944444444445</v>
      </c>
      <c r="G1431" s="21"/>
    </row>
    <row r="1432">
      <c r="A1432" s="4" t="s">
        <v>1344</v>
      </c>
      <c r="B1432" s="10">
        <v>2972406.0</v>
      </c>
      <c r="C1432" s="16" t="s">
        <v>225</v>
      </c>
      <c r="D1432" s="12" t="s">
        <v>26</v>
      </c>
      <c r="E1432" s="13" t="s">
        <v>15</v>
      </c>
      <c r="F1432" s="14">
        <v>0.02917824074074074</v>
      </c>
      <c r="G1432" s="21"/>
    </row>
    <row r="1433">
      <c r="A1433" s="4" t="s">
        <v>1344</v>
      </c>
      <c r="B1433" s="10">
        <v>2974330.0</v>
      </c>
      <c r="C1433" s="16" t="s">
        <v>226</v>
      </c>
      <c r="D1433" s="12" t="s">
        <v>26</v>
      </c>
      <c r="E1433" s="13" t="s">
        <v>15</v>
      </c>
      <c r="F1433" s="14">
        <v>0.028136574074074074</v>
      </c>
      <c r="G1433" s="21"/>
    </row>
    <row r="1434">
      <c r="A1434" s="4" t="s">
        <v>1344</v>
      </c>
      <c r="B1434" s="10">
        <v>2819209.0</v>
      </c>
      <c r="C1434" s="16" t="s">
        <v>1380</v>
      </c>
      <c r="D1434" s="12" t="s">
        <v>26</v>
      </c>
      <c r="E1434" s="13" t="s">
        <v>15</v>
      </c>
      <c r="F1434" s="14">
        <v>0.03512731481481481</v>
      </c>
      <c r="G1434" s="21"/>
    </row>
    <row r="1435">
      <c r="A1435" s="4" t="s">
        <v>1344</v>
      </c>
      <c r="B1435" s="10">
        <v>2825695.0</v>
      </c>
      <c r="C1435" s="16" t="s">
        <v>1381</v>
      </c>
      <c r="D1435" s="12" t="s">
        <v>26</v>
      </c>
      <c r="E1435" s="13" t="s">
        <v>15</v>
      </c>
      <c r="F1435" s="14">
        <v>0.023912037037037037</v>
      </c>
      <c r="G1435" s="21"/>
    </row>
    <row r="1436">
      <c r="A1436" s="4" t="s">
        <v>1344</v>
      </c>
      <c r="B1436" s="10">
        <v>2823247.0</v>
      </c>
      <c r="C1436" s="16" t="s">
        <v>1382</v>
      </c>
      <c r="D1436" s="12" t="s">
        <v>26</v>
      </c>
      <c r="E1436" s="13" t="s">
        <v>109</v>
      </c>
      <c r="F1436" s="14">
        <v>0.032581018518518516</v>
      </c>
      <c r="G1436" s="21"/>
    </row>
    <row r="1437">
      <c r="A1437" s="4" t="s">
        <v>1344</v>
      </c>
      <c r="B1437" s="10">
        <v>2837265.0</v>
      </c>
      <c r="C1437" s="16" t="s">
        <v>1383</v>
      </c>
      <c r="D1437" s="12" t="s">
        <v>26</v>
      </c>
      <c r="E1437" s="13" t="s">
        <v>26</v>
      </c>
      <c r="F1437" s="14">
        <v>0.013321759259259259</v>
      </c>
      <c r="G1437" s="21"/>
    </row>
    <row r="1438">
      <c r="A1438" s="4" t="s">
        <v>1344</v>
      </c>
      <c r="B1438" s="10">
        <v>2884198.0</v>
      </c>
      <c r="C1438" s="16" t="s">
        <v>222</v>
      </c>
      <c r="D1438" s="12" t="s">
        <v>26</v>
      </c>
      <c r="E1438" s="13" t="s">
        <v>26</v>
      </c>
      <c r="F1438" s="14">
        <v>0.02273148148148148</v>
      </c>
      <c r="G1438" s="21"/>
    </row>
    <row r="1439">
      <c r="A1439" s="4" t="s">
        <v>1384</v>
      </c>
      <c r="B1439" s="5" t="s">
        <v>8</v>
      </c>
      <c r="C1439" s="6" t="s">
        <v>9</v>
      </c>
      <c r="D1439" s="7" t="s">
        <v>3</v>
      </c>
      <c r="E1439" s="7" t="s">
        <v>10</v>
      </c>
      <c r="F1439" s="8" t="s">
        <v>11</v>
      </c>
      <c r="G1439" s="9" t="s">
        <v>12</v>
      </c>
    </row>
    <row r="1440">
      <c r="A1440" s="4" t="s">
        <v>1384</v>
      </c>
      <c r="B1440" s="10">
        <v>2815157.0</v>
      </c>
      <c r="C1440" s="16" t="s">
        <v>113</v>
      </c>
      <c r="D1440" s="12" t="s">
        <v>14</v>
      </c>
      <c r="E1440" s="13" t="s">
        <v>38</v>
      </c>
      <c r="F1440" s="14">
        <v>0.060162037037037035</v>
      </c>
      <c r="G1440" s="15" t="s">
        <v>1385</v>
      </c>
    </row>
    <row r="1441">
      <c r="A1441" s="4" t="s">
        <v>1384</v>
      </c>
      <c r="B1441" s="10">
        <v>737754.0</v>
      </c>
      <c r="C1441" s="16" t="s">
        <v>1386</v>
      </c>
      <c r="D1441" s="12" t="s">
        <v>14</v>
      </c>
      <c r="E1441" s="13" t="s">
        <v>38</v>
      </c>
      <c r="F1441" s="14">
        <v>0.036944444444444446</v>
      </c>
      <c r="G1441" s="15" t="s">
        <v>1387</v>
      </c>
    </row>
    <row r="1442">
      <c r="A1442" s="4" t="s">
        <v>1384</v>
      </c>
      <c r="B1442" s="10">
        <v>431182.0</v>
      </c>
      <c r="C1442" s="16" t="s">
        <v>1232</v>
      </c>
      <c r="D1442" s="12" t="s">
        <v>14</v>
      </c>
      <c r="E1442" s="13" t="s">
        <v>15</v>
      </c>
      <c r="F1442" s="14">
        <v>0.03908564814814815</v>
      </c>
      <c r="G1442" s="15" t="s">
        <v>1388</v>
      </c>
    </row>
    <row r="1443">
      <c r="A1443" s="4" t="s">
        <v>1384</v>
      </c>
      <c r="B1443" s="10">
        <v>2817144.0</v>
      </c>
      <c r="C1443" s="16" t="s">
        <v>1281</v>
      </c>
      <c r="D1443" s="12" t="s">
        <v>14</v>
      </c>
      <c r="E1443" s="13" t="s">
        <v>15</v>
      </c>
      <c r="F1443" s="14">
        <v>0.015844907407407408</v>
      </c>
      <c r="G1443" s="15" t="s">
        <v>1389</v>
      </c>
    </row>
    <row r="1444">
      <c r="A1444" s="4" t="s">
        <v>1384</v>
      </c>
      <c r="B1444" s="10">
        <v>2819144.0</v>
      </c>
      <c r="C1444" s="16" t="s">
        <v>894</v>
      </c>
      <c r="D1444" s="12" t="s">
        <v>14</v>
      </c>
      <c r="E1444" s="13" t="s">
        <v>15</v>
      </c>
      <c r="F1444" s="14">
        <v>0.027766203703703703</v>
      </c>
      <c r="G1444" s="15" t="s">
        <v>1390</v>
      </c>
    </row>
    <row r="1445">
      <c r="A1445" s="4" t="s">
        <v>1384</v>
      </c>
      <c r="B1445" s="10">
        <v>667354.0</v>
      </c>
      <c r="C1445" s="16" t="s">
        <v>1391</v>
      </c>
      <c r="D1445" s="12" t="s">
        <v>14</v>
      </c>
      <c r="E1445" s="13" t="s">
        <v>109</v>
      </c>
      <c r="F1445" s="14">
        <v>0.032962962962962965</v>
      </c>
      <c r="G1445" s="15" t="s">
        <v>1392</v>
      </c>
    </row>
    <row r="1446">
      <c r="A1446" s="4" t="s">
        <v>1384</v>
      </c>
      <c r="B1446" s="10">
        <v>786355.0</v>
      </c>
      <c r="C1446" s="16" t="s">
        <v>1393</v>
      </c>
      <c r="D1446" s="12" t="s">
        <v>14</v>
      </c>
      <c r="E1446" s="13" t="s">
        <v>109</v>
      </c>
      <c r="F1446" s="14">
        <v>0.03476851851851852</v>
      </c>
      <c r="G1446" s="18" t="s">
        <v>1121</v>
      </c>
    </row>
    <row r="1447">
      <c r="A1447" s="4" t="s">
        <v>1384</v>
      </c>
      <c r="B1447" s="10">
        <v>734650.0</v>
      </c>
      <c r="C1447" s="16" t="s">
        <v>1098</v>
      </c>
      <c r="D1447" s="12" t="s">
        <v>14</v>
      </c>
      <c r="E1447" s="13" t="s">
        <v>26</v>
      </c>
      <c r="F1447" s="14">
        <v>0.07376157407407408</v>
      </c>
      <c r="G1447" s="18" t="s">
        <v>1394</v>
      </c>
    </row>
    <row r="1448">
      <c r="A1448" s="4" t="s">
        <v>1384</v>
      </c>
      <c r="B1448" s="10">
        <v>782126.0</v>
      </c>
      <c r="C1448" s="16" t="s">
        <v>640</v>
      </c>
      <c r="D1448" s="12" t="s">
        <v>14</v>
      </c>
      <c r="E1448" s="13" t="s">
        <v>26</v>
      </c>
      <c r="F1448" s="14">
        <v>0.012291666666666666</v>
      </c>
      <c r="G1448" s="15" t="s">
        <v>591</v>
      </c>
    </row>
    <row r="1449">
      <c r="A1449" s="4" t="s">
        <v>1384</v>
      </c>
      <c r="B1449" s="10">
        <v>2819026.0</v>
      </c>
      <c r="C1449" s="16" t="s">
        <v>1395</v>
      </c>
      <c r="D1449" s="12" t="s">
        <v>18</v>
      </c>
      <c r="E1449" s="13" t="s">
        <v>15</v>
      </c>
      <c r="F1449" s="14">
        <v>0.019525462962962963</v>
      </c>
      <c r="G1449" s="18" t="s">
        <v>1396</v>
      </c>
    </row>
    <row r="1450">
      <c r="A1450" s="4" t="s">
        <v>1384</v>
      </c>
      <c r="B1450" s="10">
        <v>5015884.0</v>
      </c>
      <c r="C1450" s="16" t="s">
        <v>1397</v>
      </c>
      <c r="D1450" s="12" t="s">
        <v>18</v>
      </c>
      <c r="E1450" s="13" t="s">
        <v>15</v>
      </c>
      <c r="F1450" s="14">
        <v>0.012893518518518518</v>
      </c>
      <c r="G1450" s="22"/>
    </row>
    <row r="1451">
      <c r="A1451" s="4" t="s">
        <v>1384</v>
      </c>
      <c r="B1451" s="10">
        <v>5028627.0</v>
      </c>
      <c r="C1451" s="16" t="s">
        <v>297</v>
      </c>
      <c r="D1451" s="12" t="s">
        <v>18</v>
      </c>
      <c r="E1451" s="13" t="s">
        <v>109</v>
      </c>
      <c r="F1451" s="14">
        <v>0.061064814814814815</v>
      </c>
      <c r="G1451" s="21"/>
    </row>
    <row r="1452">
      <c r="A1452" s="4" t="s">
        <v>1384</v>
      </c>
      <c r="B1452" s="10">
        <v>520232.0</v>
      </c>
      <c r="C1452" s="16" t="s">
        <v>1106</v>
      </c>
      <c r="D1452" s="12" t="s">
        <v>18</v>
      </c>
      <c r="E1452" s="13" t="s">
        <v>26</v>
      </c>
      <c r="F1452" s="14">
        <v>0.1066087962962963</v>
      </c>
      <c r="G1452" s="22"/>
    </row>
    <row r="1453">
      <c r="A1453" s="4" t="s">
        <v>1384</v>
      </c>
      <c r="B1453" s="10">
        <v>2823293.0</v>
      </c>
      <c r="C1453" s="16" t="s">
        <v>1398</v>
      </c>
      <c r="D1453" s="12" t="s">
        <v>34</v>
      </c>
      <c r="E1453" s="13" t="s">
        <v>38</v>
      </c>
      <c r="F1453" s="14">
        <v>0.0352662037037037</v>
      </c>
      <c r="G1453" s="22"/>
    </row>
    <row r="1454">
      <c r="A1454" s="4" t="s">
        <v>1384</v>
      </c>
      <c r="B1454" s="10">
        <v>2823296.0</v>
      </c>
      <c r="C1454" s="16" t="s">
        <v>1301</v>
      </c>
      <c r="D1454" s="12" t="s">
        <v>34</v>
      </c>
      <c r="E1454" s="13" t="s">
        <v>38</v>
      </c>
      <c r="F1454" s="14">
        <v>0.09167824074074074</v>
      </c>
      <c r="G1454" s="22"/>
    </row>
    <row r="1455">
      <c r="A1455" s="4" t="s">
        <v>1384</v>
      </c>
      <c r="B1455" s="10">
        <v>622078.0</v>
      </c>
      <c r="C1455" s="16" t="s">
        <v>1399</v>
      </c>
      <c r="D1455" s="12" t="s">
        <v>34</v>
      </c>
      <c r="E1455" s="13" t="s">
        <v>15</v>
      </c>
      <c r="F1455" s="14">
        <v>0.05988425925925926</v>
      </c>
      <c r="G1455" s="21"/>
    </row>
    <row r="1456">
      <c r="A1456" s="4" t="s">
        <v>1384</v>
      </c>
      <c r="B1456" s="10">
        <v>2825263.0</v>
      </c>
      <c r="C1456" s="16" t="s">
        <v>1400</v>
      </c>
      <c r="D1456" s="12" t="s">
        <v>34</v>
      </c>
      <c r="E1456" s="13" t="s">
        <v>15</v>
      </c>
      <c r="F1456" s="14">
        <v>0.041226851851851855</v>
      </c>
      <c r="G1456" s="21"/>
    </row>
    <row r="1457">
      <c r="A1457" s="4" t="s">
        <v>1384</v>
      </c>
      <c r="B1457" s="10">
        <v>2244038.0</v>
      </c>
      <c r="C1457" s="16" t="s">
        <v>1401</v>
      </c>
      <c r="D1457" s="12" t="s">
        <v>26</v>
      </c>
      <c r="E1457" s="13" t="s">
        <v>109</v>
      </c>
      <c r="F1457" s="14">
        <v>0.045613425925925925</v>
      </c>
      <c r="G1457" s="21"/>
    </row>
    <row r="1458">
      <c r="A1458" s="4" t="s">
        <v>1384</v>
      </c>
      <c r="B1458" s="10">
        <v>2831004.0</v>
      </c>
      <c r="C1458" s="16" t="s">
        <v>1337</v>
      </c>
      <c r="D1458" s="12" t="s">
        <v>26</v>
      </c>
      <c r="E1458" s="13" t="s">
        <v>109</v>
      </c>
      <c r="F1458" s="14">
        <v>0.02556712962962963</v>
      </c>
      <c r="G1458" s="21"/>
    </row>
    <row r="1459">
      <c r="A1459" s="4" t="s">
        <v>1384</v>
      </c>
      <c r="B1459" s="10">
        <v>2801188.0</v>
      </c>
      <c r="C1459" s="16" t="s">
        <v>1402</v>
      </c>
      <c r="D1459" s="12" t="s">
        <v>26</v>
      </c>
      <c r="E1459" s="13" t="s">
        <v>38</v>
      </c>
      <c r="F1459" s="14">
        <v>0.028483796296296295</v>
      </c>
      <c r="G1459" s="21"/>
    </row>
    <row r="1460">
      <c r="A1460" s="4" t="s">
        <v>1384</v>
      </c>
      <c r="B1460" s="10">
        <v>2811714.0</v>
      </c>
      <c r="C1460" s="16" t="s">
        <v>1403</v>
      </c>
      <c r="D1460" s="12" t="s">
        <v>26</v>
      </c>
      <c r="E1460" s="13" t="s">
        <v>38</v>
      </c>
      <c r="F1460" s="14">
        <v>0.096875</v>
      </c>
      <c r="G1460" s="21"/>
    </row>
    <row r="1461">
      <c r="A1461" s="4" t="s">
        <v>1384</v>
      </c>
      <c r="B1461" s="10">
        <v>508618.0</v>
      </c>
      <c r="C1461" s="16" t="s">
        <v>1404</v>
      </c>
      <c r="D1461" s="12" t="s">
        <v>26</v>
      </c>
      <c r="E1461" s="13" t="s">
        <v>38</v>
      </c>
      <c r="F1461" s="14">
        <v>0.11604166666666667</v>
      </c>
      <c r="G1461" s="21"/>
    </row>
    <row r="1462">
      <c r="A1462" s="4" t="s">
        <v>1384</v>
      </c>
      <c r="B1462" s="10">
        <v>731733.0</v>
      </c>
      <c r="C1462" s="16" t="s">
        <v>1405</v>
      </c>
      <c r="D1462" s="12" t="s">
        <v>26</v>
      </c>
      <c r="E1462" s="13" t="s">
        <v>38</v>
      </c>
      <c r="F1462" s="14">
        <v>0.05555555555555555</v>
      </c>
      <c r="G1462" s="21"/>
    </row>
    <row r="1463">
      <c r="A1463" s="4" t="s">
        <v>1384</v>
      </c>
      <c r="B1463" s="10">
        <v>774896.0</v>
      </c>
      <c r="C1463" s="16" t="s">
        <v>1406</v>
      </c>
      <c r="D1463" s="12" t="s">
        <v>26</v>
      </c>
      <c r="E1463" s="13" t="s">
        <v>38</v>
      </c>
      <c r="F1463" s="14">
        <v>0.022268518518518517</v>
      </c>
      <c r="G1463" s="21"/>
    </row>
    <row r="1464">
      <c r="A1464" s="4" t="s">
        <v>1384</v>
      </c>
      <c r="B1464" s="10">
        <v>590824.0</v>
      </c>
      <c r="C1464" s="16" t="s">
        <v>1407</v>
      </c>
      <c r="D1464" s="12" t="s">
        <v>26</v>
      </c>
      <c r="E1464" s="13" t="s">
        <v>38</v>
      </c>
      <c r="F1464" s="14">
        <v>0.06707175925925926</v>
      </c>
      <c r="G1464" s="21"/>
    </row>
    <row r="1465">
      <c r="A1465" s="4" t="s">
        <v>1384</v>
      </c>
      <c r="B1465" s="10">
        <v>731734.0</v>
      </c>
      <c r="C1465" s="16" t="s">
        <v>1408</v>
      </c>
      <c r="D1465" s="12" t="s">
        <v>26</v>
      </c>
      <c r="E1465" s="13" t="s">
        <v>38</v>
      </c>
      <c r="F1465" s="14">
        <v>0.04833333333333333</v>
      </c>
      <c r="G1465" s="21"/>
    </row>
    <row r="1466">
      <c r="A1466" s="4" t="s">
        <v>1384</v>
      </c>
      <c r="B1466" s="10">
        <v>386880.0</v>
      </c>
      <c r="C1466" s="16" t="s">
        <v>1409</v>
      </c>
      <c r="D1466" s="12" t="s">
        <v>26</v>
      </c>
      <c r="E1466" s="13" t="s">
        <v>38</v>
      </c>
      <c r="F1466" s="14">
        <v>0.048726851851851855</v>
      </c>
      <c r="G1466" s="21"/>
    </row>
    <row r="1467">
      <c r="A1467" s="4" t="s">
        <v>1384</v>
      </c>
      <c r="B1467" s="10">
        <v>196589.0</v>
      </c>
      <c r="C1467" s="16" t="s">
        <v>1410</v>
      </c>
      <c r="D1467" s="12" t="s">
        <v>26</v>
      </c>
      <c r="E1467" s="13" t="s">
        <v>38</v>
      </c>
      <c r="F1467" s="14">
        <v>0.08626157407407407</v>
      </c>
      <c r="G1467" s="21"/>
    </row>
    <row r="1468">
      <c r="A1468" s="4" t="s">
        <v>1384</v>
      </c>
      <c r="B1468" s="10">
        <v>365729.0</v>
      </c>
      <c r="C1468" s="16" t="s">
        <v>653</v>
      </c>
      <c r="D1468" s="12" t="s">
        <v>26</v>
      </c>
      <c r="E1468" s="13" t="s">
        <v>38</v>
      </c>
      <c r="F1468" s="14">
        <v>0.05466435185185185</v>
      </c>
      <c r="G1468" s="21"/>
    </row>
    <row r="1469">
      <c r="A1469" s="4" t="s">
        <v>1384</v>
      </c>
      <c r="B1469" s="10">
        <v>181730.0</v>
      </c>
      <c r="C1469" s="16" t="s">
        <v>1411</v>
      </c>
      <c r="D1469" s="12" t="s">
        <v>26</v>
      </c>
      <c r="E1469" s="13" t="s">
        <v>38</v>
      </c>
      <c r="F1469" s="14">
        <v>0.06466435185185185</v>
      </c>
      <c r="G1469" s="21"/>
    </row>
    <row r="1470">
      <c r="A1470" s="4" t="s">
        <v>1384</v>
      </c>
      <c r="B1470" s="10">
        <v>2804664.0</v>
      </c>
      <c r="C1470" s="16" t="s">
        <v>770</v>
      </c>
      <c r="D1470" s="12" t="s">
        <v>26</v>
      </c>
      <c r="E1470" s="13" t="s">
        <v>38</v>
      </c>
      <c r="F1470" s="14">
        <v>0.03709490740740741</v>
      </c>
      <c r="G1470" s="21"/>
    </row>
    <row r="1471">
      <c r="A1471" s="4" t="s">
        <v>1384</v>
      </c>
      <c r="B1471" s="10">
        <v>2813303.0</v>
      </c>
      <c r="C1471" s="16" t="s">
        <v>1412</v>
      </c>
      <c r="D1471" s="12" t="s">
        <v>26</v>
      </c>
      <c r="E1471" s="13" t="s">
        <v>38</v>
      </c>
      <c r="F1471" s="14">
        <v>0.030428240740740742</v>
      </c>
      <c r="G1471" s="21"/>
    </row>
    <row r="1472">
      <c r="A1472" s="4" t="s">
        <v>1384</v>
      </c>
      <c r="B1472" s="10">
        <v>2822352.0</v>
      </c>
      <c r="C1472" s="16" t="s">
        <v>1413</v>
      </c>
      <c r="D1472" s="12" t="s">
        <v>26</v>
      </c>
      <c r="E1472" s="13" t="s">
        <v>38</v>
      </c>
      <c r="F1472" s="14">
        <v>0.05694444444444444</v>
      </c>
      <c r="G1472" s="21"/>
    </row>
    <row r="1473">
      <c r="A1473" s="4" t="s">
        <v>1384</v>
      </c>
      <c r="B1473" s="10">
        <v>2823298.0</v>
      </c>
      <c r="C1473" s="16" t="s">
        <v>1414</v>
      </c>
      <c r="D1473" s="12" t="s">
        <v>26</v>
      </c>
      <c r="E1473" s="13" t="s">
        <v>38</v>
      </c>
      <c r="F1473" s="14">
        <v>0.04949074074074074</v>
      </c>
      <c r="G1473" s="21"/>
    </row>
    <row r="1474">
      <c r="A1474" s="4" t="s">
        <v>1384</v>
      </c>
      <c r="B1474" s="10">
        <v>2824205.0</v>
      </c>
      <c r="C1474" s="16" t="s">
        <v>1415</v>
      </c>
      <c r="D1474" s="12" t="s">
        <v>26</v>
      </c>
      <c r="E1474" s="13" t="s">
        <v>38</v>
      </c>
      <c r="F1474" s="14">
        <v>0.1133912037037037</v>
      </c>
      <c r="G1474" s="21"/>
    </row>
    <row r="1475">
      <c r="A1475" s="4" t="s">
        <v>1384</v>
      </c>
      <c r="B1475" s="10">
        <v>2875323.0</v>
      </c>
      <c r="C1475" s="16" t="s">
        <v>1416</v>
      </c>
      <c r="D1475" s="12" t="s">
        <v>26</v>
      </c>
      <c r="E1475" s="13" t="s">
        <v>38</v>
      </c>
      <c r="F1475" s="14">
        <v>0.023842592592592592</v>
      </c>
      <c r="G1475" s="21"/>
    </row>
    <row r="1476">
      <c r="A1476" s="4" t="s">
        <v>1384</v>
      </c>
      <c r="B1476" s="10">
        <v>2874277.0</v>
      </c>
      <c r="C1476" s="16" t="s">
        <v>1417</v>
      </c>
      <c r="D1476" s="12" t="s">
        <v>26</v>
      </c>
      <c r="E1476" s="13" t="s">
        <v>38</v>
      </c>
      <c r="F1476" s="14">
        <v>0.025902777777777778</v>
      </c>
      <c r="G1476" s="21"/>
    </row>
    <row r="1477">
      <c r="A1477" s="4" t="s">
        <v>1384</v>
      </c>
      <c r="B1477" s="10">
        <v>2885054.0</v>
      </c>
      <c r="C1477" s="16" t="s">
        <v>1418</v>
      </c>
      <c r="D1477" s="12" t="s">
        <v>26</v>
      </c>
      <c r="E1477" s="13" t="s">
        <v>38</v>
      </c>
      <c r="F1477" s="14">
        <v>0.024155092592592593</v>
      </c>
      <c r="G1477" s="21"/>
    </row>
    <row r="1478">
      <c r="A1478" s="4" t="s">
        <v>1384</v>
      </c>
      <c r="B1478" s="10">
        <v>2422928.0</v>
      </c>
      <c r="C1478" s="16" t="s">
        <v>1419</v>
      </c>
      <c r="D1478" s="12" t="s">
        <v>26</v>
      </c>
      <c r="E1478" s="13" t="s">
        <v>38</v>
      </c>
      <c r="F1478" s="14">
        <v>0.02704861111111111</v>
      </c>
      <c r="G1478" s="21"/>
    </row>
    <row r="1479">
      <c r="A1479" s="4" t="s">
        <v>1384</v>
      </c>
      <c r="B1479" s="10">
        <v>2813257.0</v>
      </c>
      <c r="C1479" s="16" t="s">
        <v>1420</v>
      </c>
      <c r="D1479" s="12" t="s">
        <v>26</v>
      </c>
      <c r="E1479" s="13" t="s">
        <v>19</v>
      </c>
      <c r="F1479" s="14">
        <v>0.05939814814814815</v>
      </c>
      <c r="G1479" s="21"/>
    </row>
    <row r="1480">
      <c r="A1480" s="4" t="s">
        <v>1384</v>
      </c>
      <c r="B1480" s="10">
        <v>2813258.0</v>
      </c>
      <c r="C1480" s="16" t="s">
        <v>1421</v>
      </c>
      <c r="D1480" s="12" t="s">
        <v>26</v>
      </c>
      <c r="E1480" s="13" t="s">
        <v>19</v>
      </c>
      <c r="F1480" s="14">
        <v>0.06403935185185185</v>
      </c>
      <c r="G1480" s="21"/>
    </row>
    <row r="1481">
      <c r="A1481" s="4" t="s">
        <v>1384</v>
      </c>
      <c r="B1481" s="10">
        <v>2823199.0</v>
      </c>
      <c r="C1481" s="16" t="s">
        <v>706</v>
      </c>
      <c r="D1481" s="12" t="s">
        <v>26</v>
      </c>
      <c r="E1481" s="13" t="s">
        <v>19</v>
      </c>
      <c r="F1481" s="14">
        <v>0.04611111111111111</v>
      </c>
      <c r="G1481" s="21"/>
    </row>
    <row r="1482">
      <c r="A1482" s="4" t="s">
        <v>1384</v>
      </c>
      <c r="B1482" s="10">
        <v>5005054.0</v>
      </c>
      <c r="C1482" s="16" t="s">
        <v>1422</v>
      </c>
      <c r="D1482" s="12" t="s">
        <v>26</v>
      </c>
      <c r="E1482" s="13" t="s">
        <v>19</v>
      </c>
      <c r="F1482" s="14">
        <v>0.04303240740740741</v>
      </c>
      <c r="G1482" s="21"/>
    </row>
    <row r="1483">
      <c r="A1483" s="4" t="s">
        <v>1384</v>
      </c>
      <c r="B1483" s="10">
        <v>672235.0</v>
      </c>
      <c r="C1483" s="16" t="s">
        <v>1423</v>
      </c>
      <c r="D1483" s="12" t="s">
        <v>26</v>
      </c>
      <c r="E1483" s="13" t="s">
        <v>19</v>
      </c>
      <c r="F1483" s="14">
        <v>0.11820601851851852</v>
      </c>
      <c r="G1483" s="21"/>
    </row>
    <row r="1484">
      <c r="A1484" s="4" t="s">
        <v>1384</v>
      </c>
      <c r="B1484" s="10">
        <v>2833091.0</v>
      </c>
      <c r="C1484" s="16" t="s">
        <v>613</v>
      </c>
      <c r="D1484" s="12" t="s">
        <v>26</v>
      </c>
      <c r="E1484" s="13" t="s">
        <v>19</v>
      </c>
      <c r="F1484" s="14">
        <v>0.044641203703703704</v>
      </c>
      <c r="G1484" s="21"/>
    </row>
    <row r="1485">
      <c r="A1485" s="4" t="s">
        <v>1384</v>
      </c>
      <c r="B1485" s="10">
        <v>2840016.0</v>
      </c>
      <c r="C1485" s="16" t="s">
        <v>614</v>
      </c>
      <c r="D1485" s="12" t="s">
        <v>26</v>
      </c>
      <c r="E1485" s="13" t="s">
        <v>19</v>
      </c>
      <c r="F1485" s="14">
        <v>0.03221064814814815</v>
      </c>
      <c r="G1485" s="21"/>
    </row>
    <row r="1486">
      <c r="A1486" s="4" t="s">
        <v>1384</v>
      </c>
      <c r="B1486" s="10">
        <v>2833092.0</v>
      </c>
      <c r="C1486" s="16" t="s">
        <v>1424</v>
      </c>
      <c r="D1486" s="12" t="s">
        <v>26</v>
      </c>
      <c r="E1486" s="13" t="s">
        <v>19</v>
      </c>
      <c r="F1486" s="14">
        <v>0.026851851851851852</v>
      </c>
      <c r="G1486" s="21"/>
    </row>
    <row r="1487">
      <c r="A1487" s="4" t="s">
        <v>1384</v>
      </c>
      <c r="B1487" s="10">
        <v>2822695.0</v>
      </c>
      <c r="C1487" s="16" t="s">
        <v>1425</v>
      </c>
      <c r="D1487" s="12" t="s">
        <v>26</v>
      </c>
      <c r="E1487" s="13" t="s">
        <v>15</v>
      </c>
      <c r="F1487" s="14">
        <v>0.02949074074074074</v>
      </c>
      <c r="G1487" s="21"/>
    </row>
    <row r="1488">
      <c r="A1488" s="4" t="s">
        <v>1384</v>
      </c>
      <c r="B1488" s="10">
        <v>786354.0</v>
      </c>
      <c r="C1488" s="16" t="s">
        <v>1426</v>
      </c>
      <c r="D1488" s="12" t="s">
        <v>26</v>
      </c>
      <c r="E1488" s="13" t="s">
        <v>15</v>
      </c>
      <c r="F1488" s="14">
        <v>0.04030092592592593</v>
      </c>
      <c r="G1488" s="21"/>
    </row>
    <row r="1489">
      <c r="A1489" s="4" t="s">
        <v>1384</v>
      </c>
      <c r="B1489" s="10">
        <v>2841547.0</v>
      </c>
      <c r="C1489" s="16" t="s">
        <v>634</v>
      </c>
      <c r="D1489" s="12" t="s">
        <v>26</v>
      </c>
      <c r="E1489" s="13" t="s">
        <v>15</v>
      </c>
      <c r="F1489" s="14">
        <v>0.018090277777777778</v>
      </c>
      <c r="G1489" s="21"/>
    </row>
    <row r="1490">
      <c r="A1490" s="4" t="s">
        <v>1384</v>
      </c>
      <c r="B1490" s="10">
        <v>2856077.0</v>
      </c>
      <c r="C1490" s="16" t="s">
        <v>806</v>
      </c>
      <c r="D1490" s="12" t="s">
        <v>26</v>
      </c>
      <c r="E1490" s="13" t="s">
        <v>15</v>
      </c>
      <c r="F1490" s="14">
        <v>0.08042824074074074</v>
      </c>
      <c r="G1490" s="21"/>
    </row>
    <row r="1491">
      <c r="A1491" s="4" t="s">
        <v>1384</v>
      </c>
      <c r="B1491" s="10">
        <v>560126.0</v>
      </c>
      <c r="C1491" s="16" t="s">
        <v>1427</v>
      </c>
      <c r="D1491" s="12" t="s">
        <v>26</v>
      </c>
      <c r="E1491" s="13" t="s">
        <v>15</v>
      </c>
      <c r="F1491" s="14">
        <v>0.05699074074074074</v>
      </c>
      <c r="G1491" s="21"/>
    </row>
    <row r="1492">
      <c r="A1492" s="4" t="s">
        <v>1384</v>
      </c>
      <c r="B1492" s="10">
        <v>724788.0</v>
      </c>
      <c r="C1492" s="16" t="s">
        <v>1428</v>
      </c>
      <c r="D1492" s="12" t="s">
        <v>26</v>
      </c>
      <c r="E1492" s="13" t="s">
        <v>15</v>
      </c>
      <c r="F1492" s="14">
        <v>0.059340277777777777</v>
      </c>
      <c r="G1492" s="21"/>
    </row>
    <row r="1493">
      <c r="A1493" s="4" t="s">
        <v>1384</v>
      </c>
      <c r="B1493" s="10">
        <v>721924.0</v>
      </c>
      <c r="C1493" s="11" t="s">
        <v>1429</v>
      </c>
      <c r="D1493" s="12" t="s">
        <v>26</v>
      </c>
      <c r="E1493" s="13" t="s">
        <v>15</v>
      </c>
      <c r="F1493" s="14">
        <v>0.056886574074074076</v>
      </c>
      <c r="G1493" s="21"/>
    </row>
    <row r="1494">
      <c r="A1494" s="4" t="s">
        <v>1384</v>
      </c>
      <c r="B1494" s="10">
        <v>721919.0</v>
      </c>
      <c r="C1494" s="16" t="s">
        <v>1430</v>
      </c>
      <c r="D1494" s="12" t="s">
        <v>26</v>
      </c>
      <c r="E1494" s="13" t="s">
        <v>15</v>
      </c>
      <c r="F1494" s="14">
        <v>0.05938657407407407</v>
      </c>
      <c r="G1494" s="21"/>
    </row>
    <row r="1495">
      <c r="A1495" s="4" t="s">
        <v>1384</v>
      </c>
      <c r="B1495" s="10">
        <v>737769.0</v>
      </c>
      <c r="C1495" s="16" t="s">
        <v>1431</v>
      </c>
      <c r="D1495" s="12" t="s">
        <v>26</v>
      </c>
      <c r="E1495" s="13" t="s">
        <v>15</v>
      </c>
      <c r="F1495" s="14">
        <v>0.026064814814814815</v>
      </c>
      <c r="G1495" s="21"/>
    </row>
    <row r="1496">
      <c r="A1496" s="4" t="s">
        <v>1384</v>
      </c>
      <c r="B1496" s="10">
        <v>774892.0</v>
      </c>
      <c r="C1496" s="16" t="s">
        <v>1432</v>
      </c>
      <c r="D1496" s="12" t="s">
        <v>26</v>
      </c>
      <c r="E1496" s="13" t="s">
        <v>15</v>
      </c>
      <c r="F1496" s="14">
        <v>0.049074074074074076</v>
      </c>
      <c r="G1496" s="21"/>
    </row>
    <row r="1497">
      <c r="A1497" s="4" t="s">
        <v>1384</v>
      </c>
      <c r="B1497" s="10">
        <v>628691.0</v>
      </c>
      <c r="C1497" s="16" t="s">
        <v>1433</v>
      </c>
      <c r="D1497" s="12" t="s">
        <v>26</v>
      </c>
      <c r="E1497" s="13" t="s">
        <v>15</v>
      </c>
      <c r="F1497" s="14">
        <v>0.04576388888888889</v>
      </c>
      <c r="G1497" s="21"/>
    </row>
    <row r="1498">
      <c r="A1498" s="4" t="s">
        <v>1384</v>
      </c>
      <c r="B1498" s="10">
        <v>396669.0</v>
      </c>
      <c r="C1498" s="16" t="s">
        <v>1434</v>
      </c>
      <c r="D1498" s="12" t="s">
        <v>26</v>
      </c>
      <c r="E1498" s="13" t="s">
        <v>15</v>
      </c>
      <c r="F1498" s="14">
        <v>0.05423611111111111</v>
      </c>
      <c r="G1498" s="21"/>
    </row>
    <row r="1499">
      <c r="A1499" s="4" t="s">
        <v>1384</v>
      </c>
      <c r="B1499" s="10">
        <v>550747.0</v>
      </c>
      <c r="C1499" s="16" t="s">
        <v>1435</v>
      </c>
      <c r="D1499" s="12" t="s">
        <v>26</v>
      </c>
      <c r="E1499" s="13" t="s">
        <v>15</v>
      </c>
      <c r="F1499" s="14">
        <v>0.0787962962962963</v>
      </c>
      <c r="G1499" s="21"/>
    </row>
    <row r="1500">
      <c r="A1500" s="4" t="s">
        <v>1384</v>
      </c>
      <c r="B1500" s="10">
        <v>2805121.0</v>
      </c>
      <c r="C1500" s="16" t="s">
        <v>972</v>
      </c>
      <c r="D1500" s="12" t="s">
        <v>26</v>
      </c>
      <c r="E1500" s="13" t="s">
        <v>15</v>
      </c>
      <c r="F1500" s="14">
        <v>0.03469907407407408</v>
      </c>
      <c r="G1500" s="21"/>
    </row>
    <row r="1501">
      <c r="A1501" s="4" t="s">
        <v>1384</v>
      </c>
      <c r="B1501" s="10">
        <v>2816033.0</v>
      </c>
      <c r="C1501" s="16" t="s">
        <v>1436</v>
      </c>
      <c r="D1501" s="12" t="s">
        <v>26</v>
      </c>
      <c r="E1501" s="13" t="s">
        <v>15</v>
      </c>
      <c r="F1501" s="14">
        <v>0.026087962962962962</v>
      </c>
      <c r="G1501" s="21"/>
    </row>
    <row r="1502">
      <c r="A1502" s="4" t="s">
        <v>1384</v>
      </c>
      <c r="B1502" s="10">
        <v>2823100.0</v>
      </c>
      <c r="C1502" s="16" t="s">
        <v>970</v>
      </c>
      <c r="D1502" s="12" t="s">
        <v>26</v>
      </c>
      <c r="E1502" s="13" t="s">
        <v>15</v>
      </c>
      <c r="F1502" s="14">
        <v>0.04454861111111111</v>
      </c>
      <c r="G1502" s="21"/>
    </row>
    <row r="1503">
      <c r="A1503" s="4" t="s">
        <v>1384</v>
      </c>
      <c r="B1503" s="10">
        <v>2813150.0</v>
      </c>
      <c r="C1503" s="16" t="s">
        <v>1437</v>
      </c>
      <c r="D1503" s="12" t="s">
        <v>26</v>
      </c>
      <c r="E1503" s="13" t="s">
        <v>15</v>
      </c>
      <c r="F1503" s="14">
        <v>0.04511574074074074</v>
      </c>
      <c r="G1503" s="21"/>
    </row>
    <row r="1504">
      <c r="A1504" s="4" t="s">
        <v>1384</v>
      </c>
      <c r="B1504" s="10">
        <v>2825499.0</v>
      </c>
      <c r="C1504" s="16" t="s">
        <v>1335</v>
      </c>
      <c r="D1504" s="12" t="s">
        <v>26</v>
      </c>
      <c r="E1504" s="13" t="s">
        <v>15</v>
      </c>
      <c r="F1504" s="14">
        <v>0.05576388888888889</v>
      </c>
      <c r="G1504" s="21"/>
    </row>
    <row r="1505">
      <c r="A1505" s="4" t="s">
        <v>1384</v>
      </c>
      <c r="B1505" s="10">
        <v>2824053.0</v>
      </c>
      <c r="C1505" s="16" t="s">
        <v>1438</v>
      </c>
      <c r="D1505" s="12" t="s">
        <v>26</v>
      </c>
      <c r="E1505" s="13" t="s">
        <v>15</v>
      </c>
      <c r="F1505" s="14">
        <v>0.04510416666666667</v>
      </c>
      <c r="G1505" s="21"/>
    </row>
    <row r="1506">
      <c r="A1506" s="4" t="s">
        <v>1384</v>
      </c>
      <c r="B1506" s="10">
        <v>5019813.0</v>
      </c>
      <c r="C1506" s="16" t="s">
        <v>823</v>
      </c>
      <c r="D1506" s="12" t="s">
        <v>26</v>
      </c>
      <c r="E1506" s="13" t="s">
        <v>15</v>
      </c>
      <c r="F1506" s="14">
        <v>0.06487268518518519</v>
      </c>
      <c r="G1506" s="21"/>
    </row>
    <row r="1507">
      <c r="A1507" s="4" t="s">
        <v>1384</v>
      </c>
      <c r="B1507" s="10">
        <v>2832012.0</v>
      </c>
      <c r="C1507" s="16" t="s">
        <v>1439</v>
      </c>
      <c r="D1507" s="12" t="s">
        <v>26</v>
      </c>
      <c r="E1507" s="13" t="s">
        <v>15</v>
      </c>
      <c r="F1507" s="14">
        <v>0.054293981481481485</v>
      </c>
      <c r="G1507" s="21"/>
    </row>
    <row r="1508">
      <c r="A1508" s="4" t="s">
        <v>1384</v>
      </c>
      <c r="B1508" s="10">
        <v>2832013.0</v>
      </c>
      <c r="C1508" s="16" t="s">
        <v>1440</v>
      </c>
      <c r="D1508" s="12" t="s">
        <v>26</v>
      </c>
      <c r="E1508" s="13" t="s">
        <v>15</v>
      </c>
      <c r="F1508" s="14">
        <v>0.13662037037037036</v>
      </c>
      <c r="G1508" s="21"/>
    </row>
    <row r="1509">
      <c r="A1509" s="4" t="s">
        <v>1384</v>
      </c>
      <c r="B1509" s="10">
        <v>2809588.0</v>
      </c>
      <c r="C1509" s="16" t="s">
        <v>1441</v>
      </c>
      <c r="D1509" s="12" t="s">
        <v>26</v>
      </c>
      <c r="E1509" s="13" t="s">
        <v>26</v>
      </c>
      <c r="F1509" s="14">
        <v>0.04043981481481482</v>
      </c>
      <c r="G1509" s="21"/>
    </row>
    <row r="1510">
      <c r="A1510" s="4" t="s">
        <v>1384</v>
      </c>
      <c r="B1510" s="10">
        <v>2839009.0</v>
      </c>
      <c r="C1510" s="16" t="s">
        <v>1442</v>
      </c>
      <c r="D1510" s="12" t="s">
        <v>26</v>
      </c>
      <c r="E1510" s="13" t="s">
        <v>26</v>
      </c>
      <c r="F1510" s="14">
        <v>0.011805555555555555</v>
      </c>
      <c r="G1510" s="21"/>
    </row>
    <row r="1511">
      <c r="A1511" s="4" t="s">
        <v>1384</v>
      </c>
      <c r="B1511" s="10">
        <v>647659.0</v>
      </c>
      <c r="C1511" s="16" t="s">
        <v>1443</v>
      </c>
      <c r="D1511" s="12" t="s">
        <v>26</v>
      </c>
      <c r="E1511" s="13" t="s">
        <v>26</v>
      </c>
      <c r="F1511" s="14">
        <v>0.06450231481481482</v>
      </c>
      <c r="G1511" s="21"/>
    </row>
    <row r="1512">
      <c r="A1512" s="4" t="s">
        <v>1384</v>
      </c>
      <c r="B1512" s="10">
        <v>2807102.0</v>
      </c>
      <c r="C1512" s="16" t="s">
        <v>1444</v>
      </c>
      <c r="D1512" s="12" t="s">
        <v>26</v>
      </c>
      <c r="E1512" s="13" t="s">
        <v>26</v>
      </c>
      <c r="F1512" s="14">
        <v>0.09653935185185185</v>
      </c>
      <c r="G1512" s="21"/>
    </row>
    <row r="1513">
      <c r="A1513" s="4" t="s">
        <v>1384</v>
      </c>
      <c r="B1513" s="10">
        <v>2835087.0</v>
      </c>
      <c r="C1513" s="16" t="s">
        <v>1445</v>
      </c>
      <c r="D1513" s="12" t="s">
        <v>26</v>
      </c>
      <c r="E1513" s="13" t="s">
        <v>26</v>
      </c>
      <c r="F1513" s="14">
        <v>0.023680555555555555</v>
      </c>
      <c r="G1513" s="21"/>
    </row>
    <row r="1514">
      <c r="A1514" s="4" t="s">
        <v>1384</v>
      </c>
      <c r="B1514" s="10">
        <v>2841399.0</v>
      </c>
      <c r="C1514" s="16" t="s">
        <v>627</v>
      </c>
      <c r="D1514" s="12" t="s">
        <v>26</v>
      </c>
      <c r="E1514" s="13" t="s">
        <v>26</v>
      </c>
      <c r="F1514" s="14">
        <v>0.02912037037037037</v>
      </c>
      <c r="G1514" s="21"/>
    </row>
    <row r="1515">
      <c r="A1515" s="4" t="s">
        <v>1384</v>
      </c>
      <c r="B1515" s="10">
        <v>2874274.0</v>
      </c>
      <c r="C1515" s="16" t="s">
        <v>1446</v>
      </c>
      <c r="D1515" s="12" t="s">
        <v>26</v>
      </c>
      <c r="E1515" s="13" t="s">
        <v>26</v>
      </c>
      <c r="F1515" s="14">
        <v>0.0265625</v>
      </c>
      <c r="G1515" s="21"/>
    </row>
    <row r="1516">
      <c r="A1516" s="4" t="s">
        <v>1384</v>
      </c>
      <c r="B1516" s="10">
        <v>2874275.0</v>
      </c>
      <c r="C1516" s="16" t="s">
        <v>1447</v>
      </c>
      <c r="D1516" s="12" t="s">
        <v>26</v>
      </c>
      <c r="E1516" s="13" t="s">
        <v>26</v>
      </c>
      <c r="F1516" s="14">
        <v>0.02400462962962963</v>
      </c>
      <c r="G1516" s="21"/>
    </row>
    <row r="1517">
      <c r="A1517" s="4" t="s">
        <v>1448</v>
      </c>
      <c r="B1517" s="5" t="s">
        <v>8</v>
      </c>
      <c r="C1517" s="6" t="s">
        <v>9</v>
      </c>
      <c r="D1517" s="7" t="s">
        <v>3</v>
      </c>
      <c r="E1517" s="7" t="s">
        <v>10</v>
      </c>
      <c r="F1517" s="8" t="s">
        <v>11</v>
      </c>
      <c r="G1517" s="9" t="s">
        <v>12</v>
      </c>
    </row>
    <row r="1518">
      <c r="A1518" s="4" t="s">
        <v>1448</v>
      </c>
      <c r="B1518" s="10">
        <v>2813181.0</v>
      </c>
      <c r="C1518" s="16" t="s">
        <v>1449</v>
      </c>
      <c r="D1518" s="12" t="s">
        <v>18</v>
      </c>
      <c r="E1518" s="13" t="s">
        <v>38</v>
      </c>
      <c r="F1518" s="14">
        <v>0.020324074074074074</v>
      </c>
      <c r="G1518" s="18" t="s">
        <v>292</v>
      </c>
    </row>
    <row r="1519">
      <c r="A1519" s="4" t="s">
        <v>1448</v>
      </c>
      <c r="B1519" s="10">
        <v>693078.0</v>
      </c>
      <c r="C1519" s="16" t="s">
        <v>1450</v>
      </c>
      <c r="D1519" s="12" t="s">
        <v>34</v>
      </c>
      <c r="E1519" s="13" t="s">
        <v>19</v>
      </c>
      <c r="F1519" s="14">
        <v>0.04511574074074074</v>
      </c>
      <c r="G1519" s="29" t="s">
        <v>294</v>
      </c>
    </row>
    <row r="1520">
      <c r="A1520" s="4" t="s">
        <v>1448</v>
      </c>
      <c r="B1520" s="10">
        <v>656781.0</v>
      </c>
      <c r="C1520" s="16" t="s">
        <v>190</v>
      </c>
      <c r="D1520" s="12" t="s">
        <v>34</v>
      </c>
      <c r="E1520" s="13" t="s">
        <v>15</v>
      </c>
      <c r="F1520" s="14">
        <v>0.03</v>
      </c>
      <c r="G1520" s="29" t="s">
        <v>1451</v>
      </c>
    </row>
    <row r="1521">
      <c r="A1521" s="4" t="s">
        <v>1448</v>
      </c>
      <c r="B1521" s="10">
        <v>2811019.0</v>
      </c>
      <c r="C1521" s="16" t="s">
        <v>1452</v>
      </c>
      <c r="D1521" s="12" t="s">
        <v>34</v>
      </c>
      <c r="E1521" s="13" t="s">
        <v>15</v>
      </c>
      <c r="F1521" s="14">
        <v>0.027916666666666666</v>
      </c>
      <c r="G1521" s="17" t="s">
        <v>1453</v>
      </c>
    </row>
    <row r="1522">
      <c r="A1522" s="4" t="s">
        <v>1448</v>
      </c>
      <c r="B1522" s="10">
        <v>797723.0</v>
      </c>
      <c r="C1522" s="16" t="s">
        <v>321</v>
      </c>
      <c r="D1522" s="12" t="s">
        <v>34</v>
      </c>
      <c r="E1522" s="13" t="s">
        <v>15</v>
      </c>
      <c r="F1522" s="14">
        <v>0.02423611111111111</v>
      </c>
      <c r="G1522" s="17" t="s">
        <v>1454</v>
      </c>
    </row>
    <row r="1523">
      <c r="A1523" s="4" t="s">
        <v>1448</v>
      </c>
      <c r="B1523" s="10">
        <v>706912.0</v>
      </c>
      <c r="C1523" s="11" t="s">
        <v>1455</v>
      </c>
      <c r="D1523" s="12" t="s">
        <v>26</v>
      </c>
      <c r="E1523" s="13" t="s">
        <v>38</v>
      </c>
      <c r="F1523" s="14">
        <v>0.022662037037037036</v>
      </c>
      <c r="G1523" s="17" t="s">
        <v>1456</v>
      </c>
    </row>
    <row r="1524">
      <c r="A1524" s="4" t="s">
        <v>1448</v>
      </c>
      <c r="B1524" s="10">
        <v>748565.0</v>
      </c>
      <c r="C1524" s="16" t="s">
        <v>1457</v>
      </c>
      <c r="D1524" s="12" t="s">
        <v>26</v>
      </c>
      <c r="E1524" s="13" t="s">
        <v>38</v>
      </c>
      <c r="F1524" s="14">
        <v>0.05282407407407407</v>
      </c>
      <c r="G1524" s="17" t="s">
        <v>309</v>
      </c>
    </row>
    <row r="1525">
      <c r="A1525" s="4" t="s">
        <v>1448</v>
      </c>
      <c r="B1525" s="10">
        <v>512778.0</v>
      </c>
      <c r="C1525" s="16" t="s">
        <v>1458</v>
      </c>
      <c r="D1525" s="12" t="s">
        <v>26</v>
      </c>
      <c r="E1525" s="13" t="s">
        <v>38</v>
      </c>
      <c r="F1525" s="14">
        <v>0.05</v>
      </c>
      <c r="G1525" s="29"/>
    </row>
    <row r="1526">
      <c r="A1526" s="4" t="s">
        <v>1448</v>
      </c>
      <c r="B1526" s="10">
        <v>5016700.0</v>
      </c>
      <c r="C1526" s="16" t="s">
        <v>1459</v>
      </c>
      <c r="D1526" s="12" t="s">
        <v>26</v>
      </c>
      <c r="E1526" s="13" t="s">
        <v>38</v>
      </c>
      <c r="F1526" s="14">
        <v>0.013587962962962963</v>
      </c>
      <c r="G1526" s="29"/>
    </row>
    <row r="1527">
      <c r="A1527" s="4" t="s">
        <v>1448</v>
      </c>
      <c r="B1527" s="10">
        <v>706911.0</v>
      </c>
      <c r="C1527" s="16" t="s">
        <v>1460</v>
      </c>
      <c r="D1527" s="12" t="s">
        <v>26</v>
      </c>
      <c r="E1527" s="13" t="s">
        <v>38</v>
      </c>
      <c r="F1527" s="14">
        <v>0.04387731481481481</v>
      </c>
      <c r="G1527" s="17"/>
    </row>
    <row r="1528">
      <c r="A1528" s="4" t="s">
        <v>1448</v>
      </c>
      <c r="B1528" s="10">
        <v>2812533.0</v>
      </c>
      <c r="C1528" s="16" t="s">
        <v>333</v>
      </c>
      <c r="D1528" s="12" t="s">
        <v>26</v>
      </c>
      <c r="E1528" s="13" t="s">
        <v>38</v>
      </c>
      <c r="F1528" s="14">
        <v>0.026284722222222223</v>
      </c>
      <c r="G1528" s="17"/>
    </row>
    <row r="1529">
      <c r="A1529" s="4" t="s">
        <v>1448</v>
      </c>
      <c r="B1529" s="10">
        <v>2817015.0</v>
      </c>
      <c r="C1529" s="16" t="s">
        <v>1461</v>
      </c>
      <c r="D1529" s="12" t="s">
        <v>26</v>
      </c>
      <c r="E1529" s="13" t="s">
        <v>38</v>
      </c>
      <c r="F1529" s="14">
        <v>0.026145833333333333</v>
      </c>
      <c r="G1529" s="17"/>
    </row>
    <row r="1530">
      <c r="A1530" s="4" t="s">
        <v>1448</v>
      </c>
      <c r="B1530" s="10">
        <v>2819070.0</v>
      </c>
      <c r="C1530" s="16" t="s">
        <v>1462</v>
      </c>
      <c r="D1530" s="12" t="s">
        <v>26</v>
      </c>
      <c r="E1530" s="13" t="s">
        <v>38</v>
      </c>
      <c r="F1530" s="14">
        <v>0.013587962962962963</v>
      </c>
      <c r="G1530" s="17"/>
    </row>
    <row r="1531">
      <c r="A1531" s="4" t="s">
        <v>1448</v>
      </c>
      <c r="B1531" s="10">
        <v>2824177.0</v>
      </c>
      <c r="C1531" s="16" t="s">
        <v>1463</v>
      </c>
      <c r="D1531" s="12" t="s">
        <v>26</v>
      </c>
      <c r="E1531" s="13" t="s">
        <v>38</v>
      </c>
      <c r="F1531" s="14">
        <v>0.0134375</v>
      </c>
      <c r="G1531" s="21"/>
    </row>
    <row r="1532">
      <c r="A1532" s="4" t="s">
        <v>1448</v>
      </c>
      <c r="B1532" s="10">
        <v>2823568.0</v>
      </c>
      <c r="C1532" s="16" t="s">
        <v>861</v>
      </c>
      <c r="D1532" s="12" t="s">
        <v>26</v>
      </c>
      <c r="E1532" s="13" t="s">
        <v>38</v>
      </c>
      <c r="F1532" s="14">
        <v>0.029837962962962962</v>
      </c>
      <c r="G1532" s="21"/>
    </row>
    <row r="1533">
      <c r="A1533" s="4" t="s">
        <v>1448</v>
      </c>
      <c r="B1533" s="10">
        <v>2875044.0</v>
      </c>
      <c r="C1533" s="16" t="s">
        <v>1464</v>
      </c>
      <c r="D1533" s="12" t="s">
        <v>26</v>
      </c>
      <c r="E1533" s="13" t="s">
        <v>38</v>
      </c>
      <c r="F1533" s="14">
        <v>0.015821759259259258</v>
      </c>
      <c r="G1533" s="21"/>
    </row>
    <row r="1534">
      <c r="A1534" s="4" t="s">
        <v>1448</v>
      </c>
      <c r="B1534" s="10">
        <v>2869052.0</v>
      </c>
      <c r="C1534" s="16" t="s">
        <v>1465</v>
      </c>
      <c r="D1534" s="12" t="s">
        <v>26</v>
      </c>
      <c r="E1534" s="13" t="s">
        <v>38</v>
      </c>
      <c r="F1534" s="14">
        <v>0.016886574074074075</v>
      </c>
      <c r="G1534" s="21"/>
    </row>
    <row r="1535">
      <c r="A1535" s="4" t="s">
        <v>1448</v>
      </c>
      <c r="B1535" s="10">
        <v>3119090.0</v>
      </c>
      <c r="C1535" s="16" t="s">
        <v>1466</v>
      </c>
      <c r="D1535" s="12" t="s">
        <v>26</v>
      </c>
      <c r="E1535" s="13" t="s">
        <v>38</v>
      </c>
      <c r="F1535" s="14">
        <v>0.028680555555555556</v>
      </c>
      <c r="G1535" s="21"/>
    </row>
    <row r="1536">
      <c r="A1536" s="4" t="s">
        <v>1448</v>
      </c>
      <c r="B1536" s="10">
        <v>2885049.0</v>
      </c>
      <c r="C1536" s="16" t="s">
        <v>1171</v>
      </c>
      <c r="D1536" s="12" t="s">
        <v>26</v>
      </c>
      <c r="E1536" s="13" t="s">
        <v>38</v>
      </c>
      <c r="F1536" s="14">
        <v>0.05087962962962963</v>
      </c>
      <c r="G1536" s="21"/>
    </row>
    <row r="1537">
      <c r="A1537" s="4" t="s">
        <v>1448</v>
      </c>
      <c r="B1537" s="10">
        <v>2887137.0</v>
      </c>
      <c r="C1537" s="16" t="s">
        <v>864</v>
      </c>
      <c r="D1537" s="12" t="s">
        <v>26</v>
      </c>
      <c r="E1537" s="13" t="s">
        <v>38</v>
      </c>
      <c r="F1537" s="14">
        <v>0.10951388888888888</v>
      </c>
      <c r="G1537" s="21"/>
    </row>
    <row r="1538">
      <c r="A1538" s="4" t="s">
        <v>1448</v>
      </c>
      <c r="B1538" s="10">
        <v>2887216.0</v>
      </c>
      <c r="C1538" s="16" t="s">
        <v>1467</v>
      </c>
      <c r="D1538" s="12" t="s">
        <v>26</v>
      </c>
      <c r="E1538" s="13" t="s">
        <v>19</v>
      </c>
      <c r="F1538" s="14">
        <v>0.03712962962962963</v>
      </c>
      <c r="G1538" s="21"/>
    </row>
    <row r="1539">
      <c r="A1539" s="4" t="s">
        <v>1448</v>
      </c>
      <c r="B1539" s="10">
        <v>2875303.0</v>
      </c>
      <c r="C1539" s="16" t="s">
        <v>1468</v>
      </c>
      <c r="D1539" s="12" t="s">
        <v>26</v>
      </c>
      <c r="E1539" s="13" t="s">
        <v>19</v>
      </c>
      <c r="F1539" s="14">
        <v>0.02445601851851852</v>
      </c>
      <c r="G1539" s="21"/>
    </row>
    <row r="1540">
      <c r="A1540" s="4" t="s">
        <v>1448</v>
      </c>
      <c r="B1540" s="10">
        <v>2816032.0</v>
      </c>
      <c r="C1540" s="16" t="s">
        <v>364</v>
      </c>
      <c r="D1540" s="12" t="s">
        <v>26</v>
      </c>
      <c r="E1540" s="13" t="s">
        <v>19</v>
      </c>
      <c r="F1540" s="14">
        <v>0.021828703703703704</v>
      </c>
      <c r="G1540" s="21"/>
    </row>
    <row r="1541">
      <c r="A1541" s="4" t="s">
        <v>1448</v>
      </c>
      <c r="B1541" s="10">
        <v>740357.0</v>
      </c>
      <c r="C1541" s="16" t="s">
        <v>1469</v>
      </c>
      <c r="D1541" s="12" t="s">
        <v>26</v>
      </c>
      <c r="E1541" s="13" t="s">
        <v>19</v>
      </c>
      <c r="F1541" s="14">
        <v>0.08483796296296296</v>
      </c>
      <c r="G1541" s="21"/>
    </row>
    <row r="1542">
      <c r="A1542" s="4" t="s">
        <v>1448</v>
      </c>
      <c r="B1542" s="10">
        <v>696325.0</v>
      </c>
      <c r="C1542" s="16" t="s">
        <v>1470</v>
      </c>
      <c r="D1542" s="12" t="s">
        <v>26</v>
      </c>
      <c r="E1542" s="13" t="s">
        <v>19</v>
      </c>
      <c r="F1542" s="14">
        <v>0.015555555555555555</v>
      </c>
      <c r="G1542" s="21"/>
    </row>
    <row r="1543">
      <c r="A1543" s="4" t="s">
        <v>1448</v>
      </c>
      <c r="B1543" s="10">
        <v>2853006.0</v>
      </c>
      <c r="C1543" s="16" t="s">
        <v>1191</v>
      </c>
      <c r="D1543" s="12" t="s">
        <v>26</v>
      </c>
      <c r="E1543" s="13" t="s">
        <v>15</v>
      </c>
      <c r="F1543" s="14">
        <v>0.025590277777777778</v>
      </c>
      <c r="G1543" s="21"/>
    </row>
    <row r="1544">
      <c r="A1544" s="4" t="s">
        <v>1448</v>
      </c>
      <c r="B1544" s="10">
        <v>2841294.0</v>
      </c>
      <c r="C1544" s="16" t="s">
        <v>1471</v>
      </c>
      <c r="D1544" s="12" t="s">
        <v>26</v>
      </c>
      <c r="E1544" s="13" t="s">
        <v>15</v>
      </c>
      <c r="F1544" s="14">
        <v>0.07296296296296297</v>
      </c>
      <c r="G1544" s="21"/>
    </row>
    <row r="1545">
      <c r="A1545" s="4" t="s">
        <v>1448</v>
      </c>
      <c r="B1545" s="10">
        <v>151544.0</v>
      </c>
      <c r="C1545" s="16" t="s">
        <v>1472</v>
      </c>
      <c r="D1545" s="12" t="s">
        <v>26</v>
      </c>
      <c r="E1545" s="13" t="s">
        <v>15</v>
      </c>
      <c r="F1545" s="14">
        <v>0.05296296296296296</v>
      </c>
      <c r="G1545" s="21"/>
    </row>
    <row r="1546">
      <c r="A1546" s="4" t="s">
        <v>1448</v>
      </c>
      <c r="B1546" s="10">
        <v>415362.0</v>
      </c>
      <c r="C1546" s="16" t="s">
        <v>1473</v>
      </c>
      <c r="D1546" s="12" t="s">
        <v>26</v>
      </c>
      <c r="E1546" s="13" t="s">
        <v>15</v>
      </c>
      <c r="F1546" s="14">
        <v>0.022349537037037036</v>
      </c>
      <c r="G1546" s="21"/>
    </row>
    <row r="1547">
      <c r="A1547" s="4" t="s">
        <v>1448</v>
      </c>
      <c r="B1547" s="10">
        <v>758613.0</v>
      </c>
      <c r="C1547" s="16" t="s">
        <v>1474</v>
      </c>
      <c r="D1547" s="12" t="s">
        <v>26</v>
      </c>
      <c r="E1547" s="13" t="s">
        <v>15</v>
      </c>
      <c r="F1547" s="14">
        <v>0.02309027777777778</v>
      </c>
      <c r="G1547" s="21"/>
    </row>
    <row r="1548">
      <c r="A1548" s="4" t="s">
        <v>1448</v>
      </c>
      <c r="B1548" s="10">
        <v>743144.0</v>
      </c>
      <c r="C1548" s="16" t="s">
        <v>366</v>
      </c>
      <c r="D1548" s="12" t="s">
        <v>26</v>
      </c>
      <c r="E1548" s="13" t="s">
        <v>15</v>
      </c>
      <c r="F1548" s="14">
        <v>0.044270833333333336</v>
      </c>
      <c r="G1548" s="21"/>
    </row>
    <row r="1549">
      <c r="A1549" s="4" t="s">
        <v>1448</v>
      </c>
      <c r="B1549" s="10">
        <v>3009139.0</v>
      </c>
      <c r="C1549" s="16" t="s">
        <v>1475</v>
      </c>
      <c r="D1549" s="12" t="s">
        <v>26</v>
      </c>
      <c r="E1549" s="13" t="s">
        <v>15</v>
      </c>
      <c r="F1549" s="14">
        <v>0.0384375</v>
      </c>
      <c r="G1549" s="21"/>
    </row>
    <row r="1550">
      <c r="A1550" s="4" t="s">
        <v>1448</v>
      </c>
      <c r="B1550" s="10">
        <v>2822089.0</v>
      </c>
      <c r="C1550" s="16" t="s">
        <v>1476</v>
      </c>
      <c r="D1550" s="12" t="s">
        <v>26</v>
      </c>
      <c r="E1550" s="13" t="s">
        <v>26</v>
      </c>
      <c r="F1550" s="14">
        <v>0.017962962962962962</v>
      </c>
      <c r="G1550" s="21"/>
    </row>
    <row r="1551">
      <c r="A1551" s="4" t="s">
        <v>1448</v>
      </c>
      <c r="B1551" s="10">
        <v>2818087.0</v>
      </c>
      <c r="C1551" s="16" t="s">
        <v>1477</v>
      </c>
      <c r="D1551" s="12" t="s">
        <v>26</v>
      </c>
      <c r="E1551" s="13" t="s">
        <v>26</v>
      </c>
      <c r="F1551" s="14">
        <v>0.025381944444444443</v>
      </c>
      <c r="G1551" s="21"/>
    </row>
    <row r="1552">
      <c r="A1552" s="4" t="s">
        <v>1448</v>
      </c>
      <c r="B1552" s="10">
        <v>2836016.0</v>
      </c>
      <c r="C1552" s="16" t="s">
        <v>1478</v>
      </c>
      <c r="D1552" s="12" t="s">
        <v>26</v>
      </c>
      <c r="E1552" s="13" t="s">
        <v>26</v>
      </c>
      <c r="F1552" s="14">
        <v>0.03394675925925926</v>
      </c>
      <c r="G1552" s="21"/>
    </row>
    <row r="1553">
      <c r="A1553" s="4" t="s">
        <v>1448</v>
      </c>
      <c r="B1553" s="10">
        <v>359601.0</v>
      </c>
      <c r="C1553" s="16" t="s">
        <v>375</v>
      </c>
      <c r="D1553" s="12" t="s">
        <v>26</v>
      </c>
      <c r="E1553" s="13" t="s">
        <v>26</v>
      </c>
      <c r="F1553" s="14">
        <v>0.053321759259259256</v>
      </c>
      <c r="G1553" s="21"/>
    </row>
    <row r="1554">
      <c r="A1554" s="4" t="s">
        <v>1448</v>
      </c>
      <c r="B1554" s="10">
        <v>2857061.0</v>
      </c>
      <c r="C1554" s="16" t="s">
        <v>1479</v>
      </c>
      <c r="D1554" s="12" t="s">
        <v>26</v>
      </c>
      <c r="E1554" s="13" t="s">
        <v>26</v>
      </c>
      <c r="F1554" s="14">
        <v>0.018831018518518518</v>
      </c>
      <c r="G1554" s="21"/>
    </row>
    <row r="1555">
      <c r="A1555" s="4" t="s">
        <v>1448</v>
      </c>
      <c r="B1555" s="10">
        <v>2832065.0</v>
      </c>
      <c r="C1555" s="16" t="s">
        <v>1480</v>
      </c>
      <c r="D1555" s="12" t="s">
        <v>26</v>
      </c>
      <c r="E1555" s="13" t="s">
        <v>26</v>
      </c>
      <c r="F1555" s="14">
        <v>0.019467592592592592</v>
      </c>
      <c r="G1555" s="21"/>
    </row>
    <row r="1556">
      <c r="A1556" s="4" t="s">
        <v>1448</v>
      </c>
      <c r="B1556" s="10">
        <v>2825741.0</v>
      </c>
      <c r="C1556" s="16" t="s">
        <v>1481</v>
      </c>
      <c r="D1556" s="12" t="s">
        <v>26</v>
      </c>
      <c r="E1556" s="13" t="s">
        <v>26</v>
      </c>
      <c r="F1556" s="14">
        <v>0.03457175925925926</v>
      </c>
      <c r="G1556" s="21"/>
    </row>
    <row r="1557">
      <c r="A1557" s="4" t="s">
        <v>1448</v>
      </c>
      <c r="B1557" s="10">
        <v>2353949.0</v>
      </c>
      <c r="C1557" s="16" t="s">
        <v>380</v>
      </c>
      <c r="D1557" s="12" t="s">
        <v>26</v>
      </c>
      <c r="E1557" s="13" t="s">
        <v>26</v>
      </c>
      <c r="F1557" s="14">
        <v>0.037905092592592594</v>
      </c>
      <c r="G1557" s="21"/>
    </row>
    <row r="1558">
      <c r="A1558" s="4" t="s">
        <v>1448</v>
      </c>
      <c r="B1558" s="10">
        <v>786358.0</v>
      </c>
      <c r="C1558" s="16" t="s">
        <v>1482</v>
      </c>
      <c r="D1558" s="12" t="s">
        <v>26</v>
      </c>
      <c r="E1558" s="13" t="s">
        <v>26</v>
      </c>
      <c r="F1558" s="14">
        <v>0.07644675925925926</v>
      </c>
      <c r="G1558" s="21"/>
    </row>
    <row r="1559">
      <c r="A1559" s="4" t="s">
        <v>1448</v>
      </c>
      <c r="B1559" s="10">
        <v>491532.0</v>
      </c>
      <c r="C1559" s="16" t="s">
        <v>1483</v>
      </c>
      <c r="D1559" s="12" t="s">
        <v>26</v>
      </c>
      <c r="E1559" s="13" t="s">
        <v>26</v>
      </c>
      <c r="F1559" s="14">
        <v>0.047280092592592596</v>
      </c>
      <c r="G1559" s="21"/>
    </row>
    <row r="1560">
      <c r="A1560" s="4" t="s">
        <v>1448</v>
      </c>
      <c r="B1560" s="10">
        <v>2805116.0</v>
      </c>
      <c r="C1560" s="16" t="s">
        <v>1484</v>
      </c>
      <c r="D1560" s="12" t="s">
        <v>26</v>
      </c>
      <c r="E1560" s="13" t="s">
        <v>26</v>
      </c>
      <c r="F1560" s="14">
        <v>0.021689814814814815</v>
      </c>
      <c r="G1560" s="21"/>
    </row>
    <row r="1561">
      <c r="A1561" s="4" t="s">
        <v>1448</v>
      </c>
      <c r="B1561" s="10">
        <v>5030964.0</v>
      </c>
      <c r="C1561" s="16" t="s">
        <v>1485</v>
      </c>
      <c r="D1561" s="12" t="s">
        <v>26</v>
      </c>
      <c r="E1561" s="13" t="s">
        <v>26</v>
      </c>
      <c r="F1561" s="14">
        <v>0.20719907407407406</v>
      </c>
      <c r="G1561" s="21"/>
    </row>
    <row r="1562">
      <c r="A1562" s="4" t="s">
        <v>1448</v>
      </c>
      <c r="B1562" s="10">
        <v>2894005.0</v>
      </c>
      <c r="C1562" s="16" t="s">
        <v>391</v>
      </c>
      <c r="D1562" s="12" t="s">
        <v>26</v>
      </c>
      <c r="E1562" s="13" t="s">
        <v>26</v>
      </c>
      <c r="F1562" s="14">
        <v>0.03127314814814815</v>
      </c>
      <c r="G1562" s="21"/>
    </row>
    <row r="1563">
      <c r="A1563" s="4" t="s">
        <v>1486</v>
      </c>
      <c r="B1563" s="5" t="s">
        <v>8</v>
      </c>
      <c r="C1563" s="6" t="s">
        <v>9</v>
      </c>
      <c r="D1563" s="7" t="s">
        <v>3</v>
      </c>
      <c r="E1563" s="7" t="s">
        <v>10</v>
      </c>
      <c r="F1563" s="8" t="s">
        <v>11</v>
      </c>
      <c r="G1563" s="9" t="s">
        <v>12</v>
      </c>
    </row>
    <row r="1564">
      <c r="A1564" s="4" t="s">
        <v>1486</v>
      </c>
      <c r="B1564" s="10">
        <v>2818082.0</v>
      </c>
      <c r="C1564" s="16" t="s">
        <v>1487</v>
      </c>
      <c r="D1564" s="12" t="s">
        <v>14</v>
      </c>
      <c r="E1564" s="13" t="s">
        <v>15</v>
      </c>
      <c r="F1564" s="14">
        <v>0.025532407407407406</v>
      </c>
      <c r="G1564" s="15" t="s">
        <v>1488</v>
      </c>
    </row>
    <row r="1565">
      <c r="A1565" s="4" t="s">
        <v>1486</v>
      </c>
      <c r="B1565" s="10">
        <v>2889004.0</v>
      </c>
      <c r="C1565" s="16" t="s">
        <v>1489</v>
      </c>
      <c r="D1565" s="12" t="s">
        <v>18</v>
      </c>
      <c r="E1565" s="13" t="s">
        <v>38</v>
      </c>
      <c r="F1565" s="14">
        <v>0.04297453703703704</v>
      </c>
      <c r="G1565" s="15" t="s">
        <v>738</v>
      </c>
    </row>
    <row r="1566">
      <c r="A1566" s="4" t="s">
        <v>1486</v>
      </c>
      <c r="B1566" s="10">
        <v>704118.0</v>
      </c>
      <c r="C1566" s="16" t="s">
        <v>1490</v>
      </c>
      <c r="D1566" s="12" t="s">
        <v>18</v>
      </c>
      <c r="E1566" s="13" t="s">
        <v>19</v>
      </c>
      <c r="F1566" s="14">
        <v>0.039837962962962964</v>
      </c>
      <c r="G1566" s="18" t="s">
        <v>754</v>
      </c>
    </row>
    <row r="1567">
      <c r="A1567" s="4" t="s">
        <v>1486</v>
      </c>
      <c r="B1567" s="10">
        <v>3019025.0</v>
      </c>
      <c r="C1567" s="16" t="s">
        <v>1491</v>
      </c>
      <c r="D1567" s="12" t="s">
        <v>18</v>
      </c>
      <c r="E1567" s="13" t="s">
        <v>15</v>
      </c>
      <c r="F1567" s="14">
        <v>0.025127314814814814</v>
      </c>
      <c r="G1567" s="15" t="s">
        <v>1492</v>
      </c>
    </row>
    <row r="1568">
      <c r="A1568" s="4" t="s">
        <v>1486</v>
      </c>
      <c r="B1568" s="10">
        <v>647653.0</v>
      </c>
      <c r="C1568" s="16" t="s">
        <v>1493</v>
      </c>
      <c r="D1568" s="12" t="s">
        <v>18</v>
      </c>
      <c r="E1568" s="13" t="s">
        <v>109</v>
      </c>
      <c r="F1568" s="14">
        <v>0.03446759259259259</v>
      </c>
      <c r="G1568" s="15" t="s">
        <v>1494</v>
      </c>
    </row>
    <row r="1569">
      <c r="A1569" s="4" t="s">
        <v>1486</v>
      </c>
      <c r="B1569" s="10">
        <v>2846053.0</v>
      </c>
      <c r="C1569" s="16" t="s">
        <v>210</v>
      </c>
      <c r="D1569" s="12" t="s">
        <v>34</v>
      </c>
      <c r="E1569" s="13" t="s">
        <v>38</v>
      </c>
      <c r="F1569" s="14">
        <v>0.02045138888888889</v>
      </c>
      <c r="G1569" s="15" t="s">
        <v>1495</v>
      </c>
    </row>
    <row r="1570">
      <c r="A1570" s="4" t="s">
        <v>1486</v>
      </c>
      <c r="B1570" s="10">
        <v>2453230.0</v>
      </c>
      <c r="C1570" s="16" t="s">
        <v>1496</v>
      </c>
      <c r="D1570" s="12" t="s">
        <v>34</v>
      </c>
      <c r="E1570" s="13" t="s">
        <v>38</v>
      </c>
      <c r="F1570" s="14">
        <v>0.05851851851851852</v>
      </c>
      <c r="G1570" s="29" t="s">
        <v>1497</v>
      </c>
    </row>
    <row r="1571">
      <c r="A1571" s="4" t="s">
        <v>1486</v>
      </c>
      <c r="B1571" s="10">
        <v>784283.0</v>
      </c>
      <c r="C1571" s="16" t="s">
        <v>245</v>
      </c>
      <c r="D1571" s="12" t="s">
        <v>34</v>
      </c>
      <c r="E1571" s="13" t="s">
        <v>15</v>
      </c>
      <c r="F1571" s="14">
        <v>0.028645833333333332</v>
      </c>
      <c r="G1571" s="29" t="s">
        <v>1498</v>
      </c>
    </row>
    <row r="1572">
      <c r="A1572" s="4" t="s">
        <v>1486</v>
      </c>
      <c r="B1572" s="10">
        <v>2874153.0</v>
      </c>
      <c r="C1572" s="16" t="s">
        <v>1499</v>
      </c>
      <c r="D1572" s="12" t="s">
        <v>34</v>
      </c>
      <c r="E1572" s="13" t="s">
        <v>15</v>
      </c>
      <c r="F1572" s="14">
        <v>0.028993055555555557</v>
      </c>
      <c r="G1572" s="17" t="s">
        <v>1500</v>
      </c>
    </row>
    <row r="1573">
      <c r="A1573" s="4" t="s">
        <v>1486</v>
      </c>
      <c r="B1573" s="10">
        <v>784278.0</v>
      </c>
      <c r="C1573" s="16" t="s">
        <v>242</v>
      </c>
      <c r="D1573" s="12" t="s">
        <v>34</v>
      </c>
      <c r="E1573" s="13" t="s">
        <v>26</v>
      </c>
      <c r="F1573" s="14">
        <v>0.034444444444444444</v>
      </c>
      <c r="G1573" s="17" t="s">
        <v>1501</v>
      </c>
    </row>
    <row r="1574">
      <c r="A1574" s="4" t="s">
        <v>1486</v>
      </c>
      <c r="B1574" s="10">
        <v>2313157.0</v>
      </c>
      <c r="C1574" s="16" t="s">
        <v>1502</v>
      </c>
      <c r="D1574" s="12" t="s">
        <v>31</v>
      </c>
      <c r="E1574" s="13" t="s">
        <v>38</v>
      </c>
      <c r="F1574" s="14">
        <v>0.06967592592592593</v>
      </c>
      <c r="G1574" s="17" t="s">
        <v>1503</v>
      </c>
    </row>
    <row r="1575">
      <c r="A1575" s="4" t="s">
        <v>1486</v>
      </c>
      <c r="B1575" s="10">
        <v>2875380.0</v>
      </c>
      <c r="C1575" s="16" t="s">
        <v>1504</v>
      </c>
      <c r="D1575" s="12" t="s">
        <v>31</v>
      </c>
      <c r="E1575" s="13" t="s">
        <v>38</v>
      </c>
      <c r="F1575" s="14">
        <v>0.02021990740740741</v>
      </c>
      <c r="G1575" s="17" t="s">
        <v>1505</v>
      </c>
    </row>
    <row r="1576">
      <c r="A1576" s="4" t="s">
        <v>1486</v>
      </c>
      <c r="B1576" s="10">
        <v>2841523.0</v>
      </c>
      <c r="C1576" s="16" t="s">
        <v>1506</v>
      </c>
      <c r="D1576" s="12" t="s">
        <v>31</v>
      </c>
      <c r="E1576" s="13" t="s">
        <v>38</v>
      </c>
      <c r="F1576" s="14">
        <v>0.023726851851851853</v>
      </c>
      <c r="G1576" s="17" t="s">
        <v>1507</v>
      </c>
    </row>
    <row r="1577">
      <c r="A1577" s="4" t="s">
        <v>1486</v>
      </c>
      <c r="B1577" s="10">
        <v>3004944.0</v>
      </c>
      <c r="C1577" s="16" t="s">
        <v>1508</v>
      </c>
      <c r="D1577" s="12" t="s">
        <v>31</v>
      </c>
      <c r="E1577" s="13" t="s">
        <v>19</v>
      </c>
      <c r="F1577" s="14">
        <v>0.03591435185185185</v>
      </c>
      <c r="G1577" s="17" t="s">
        <v>1509</v>
      </c>
    </row>
    <row r="1578">
      <c r="A1578" s="4" t="s">
        <v>1486</v>
      </c>
      <c r="B1578" s="10">
        <v>2806962.0</v>
      </c>
      <c r="C1578" s="16" t="s">
        <v>1510</v>
      </c>
      <c r="D1578" s="12" t="s">
        <v>26</v>
      </c>
      <c r="E1578" s="13" t="s">
        <v>109</v>
      </c>
      <c r="F1578" s="14">
        <v>0.009189814814814816</v>
      </c>
      <c r="G1578" s="33" t="s">
        <v>1389</v>
      </c>
    </row>
    <row r="1579">
      <c r="A1579" s="4" t="s">
        <v>1486</v>
      </c>
      <c r="B1579" s="10">
        <v>2824370.0</v>
      </c>
      <c r="C1579" s="16" t="s">
        <v>1511</v>
      </c>
      <c r="D1579" s="12" t="s">
        <v>26</v>
      </c>
      <c r="E1579" s="13" t="s">
        <v>109</v>
      </c>
      <c r="F1579" s="14">
        <v>0.11922453703703703</v>
      </c>
      <c r="G1579" s="17" t="s">
        <v>1512</v>
      </c>
    </row>
    <row r="1580">
      <c r="A1580" s="4" t="s">
        <v>1486</v>
      </c>
      <c r="B1580" s="10">
        <v>2825403.0</v>
      </c>
      <c r="C1580" s="16" t="s">
        <v>1513</v>
      </c>
      <c r="D1580" s="12" t="s">
        <v>26</v>
      </c>
      <c r="E1580" s="13" t="s">
        <v>109</v>
      </c>
      <c r="F1580" s="14">
        <v>0.03212962962962963</v>
      </c>
      <c r="G1580" s="29" t="s">
        <v>1514</v>
      </c>
    </row>
    <row r="1581">
      <c r="A1581" s="4" t="s">
        <v>1486</v>
      </c>
      <c r="B1581" s="10">
        <v>756288.0</v>
      </c>
      <c r="C1581" s="16" t="s">
        <v>1515</v>
      </c>
      <c r="D1581" s="12" t="s">
        <v>26</v>
      </c>
      <c r="E1581" s="13" t="s">
        <v>38</v>
      </c>
      <c r="F1581" s="14">
        <v>0.030844907407407408</v>
      </c>
      <c r="G1581" s="17" t="s">
        <v>1516</v>
      </c>
    </row>
    <row r="1582">
      <c r="A1582" s="4" t="s">
        <v>1486</v>
      </c>
      <c r="B1582" s="10">
        <v>612167.0</v>
      </c>
      <c r="C1582" s="16" t="s">
        <v>1517</v>
      </c>
      <c r="D1582" s="12" t="s">
        <v>26</v>
      </c>
      <c r="E1582" s="13" t="s">
        <v>38</v>
      </c>
      <c r="F1582" s="14">
        <v>0.06199074074074074</v>
      </c>
      <c r="G1582" s="33" t="s">
        <v>1518</v>
      </c>
    </row>
    <row r="1583">
      <c r="A1583" s="4" t="s">
        <v>1486</v>
      </c>
      <c r="B1583" s="10">
        <v>724785.0</v>
      </c>
      <c r="C1583" s="16" t="s">
        <v>1519</v>
      </c>
      <c r="D1583" s="12" t="s">
        <v>26</v>
      </c>
      <c r="E1583" s="13" t="s">
        <v>38</v>
      </c>
      <c r="F1583" s="14">
        <v>0.023622685185185184</v>
      </c>
      <c r="G1583" s="29" t="s">
        <v>1520</v>
      </c>
    </row>
    <row r="1584">
      <c r="A1584" s="4" t="s">
        <v>1486</v>
      </c>
      <c r="B1584" s="10">
        <v>5034166.0</v>
      </c>
      <c r="C1584" s="16" t="s">
        <v>1521</v>
      </c>
      <c r="D1584" s="12" t="s">
        <v>26</v>
      </c>
      <c r="E1584" s="13" t="s">
        <v>38</v>
      </c>
      <c r="F1584" s="14">
        <v>0.04976851851851852</v>
      </c>
      <c r="G1584" s="17" t="s">
        <v>1522</v>
      </c>
    </row>
    <row r="1585">
      <c r="A1585" s="4" t="s">
        <v>1486</v>
      </c>
      <c r="B1585" s="10">
        <v>5043072.0</v>
      </c>
      <c r="C1585" s="16" t="s">
        <v>1523</v>
      </c>
      <c r="D1585" s="12" t="s">
        <v>26</v>
      </c>
      <c r="E1585" s="13" t="s">
        <v>38</v>
      </c>
      <c r="F1585" s="14">
        <v>0.013333333333333334</v>
      </c>
      <c r="G1585" s="29" t="s">
        <v>1524</v>
      </c>
    </row>
    <row r="1586">
      <c r="A1586" s="4" t="s">
        <v>1486</v>
      </c>
      <c r="B1586" s="10">
        <v>2253159.0</v>
      </c>
      <c r="C1586" s="16" t="s">
        <v>1525</v>
      </c>
      <c r="D1586" s="12" t="s">
        <v>26</v>
      </c>
      <c r="E1586" s="13" t="s">
        <v>38</v>
      </c>
      <c r="F1586" s="14">
        <v>0.018969907407407408</v>
      </c>
      <c r="G1586" s="29"/>
    </row>
    <row r="1587">
      <c r="A1587" s="4" t="s">
        <v>1486</v>
      </c>
      <c r="B1587" s="10">
        <v>2254037.0</v>
      </c>
      <c r="C1587" s="16" t="s">
        <v>1526</v>
      </c>
      <c r="D1587" s="12" t="s">
        <v>26</v>
      </c>
      <c r="E1587" s="13" t="s">
        <v>38</v>
      </c>
      <c r="F1587" s="14">
        <v>0.018287037037037036</v>
      </c>
      <c r="G1587" s="17"/>
    </row>
    <row r="1588">
      <c r="A1588" s="4" t="s">
        <v>1486</v>
      </c>
      <c r="B1588" s="10">
        <v>2813141.0</v>
      </c>
      <c r="C1588" s="16" t="s">
        <v>1527</v>
      </c>
      <c r="D1588" s="12" t="s">
        <v>26</v>
      </c>
      <c r="E1588" s="13" t="s">
        <v>38</v>
      </c>
      <c r="F1588" s="14">
        <v>0.03809027777777778</v>
      </c>
      <c r="G1588" s="29"/>
    </row>
    <row r="1589">
      <c r="A1589" s="4" t="s">
        <v>1486</v>
      </c>
      <c r="B1589" s="10">
        <v>2814140.0</v>
      </c>
      <c r="C1589" s="11" t="s">
        <v>1528</v>
      </c>
      <c r="D1589" s="12" t="s">
        <v>26</v>
      </c>
      <c r="E1589" s="13" t="s">
        <v>38</v>
      </c>
      <c r="F1589" s="14">
        <v>0.07271990740740741</v>
      </c>
      <c r="G1589" s="34"/>
    </row>
    <row r="1590">
      <c r="A1590" s="4" t="s">
        <v>1486</v>
      </c>
      <c r="B1590" s="10">
        <v>2823295.0</v>
      </c>
      <c r="C1590" s="16" t="s">
        <v>1529</v>
      </c>
      <c r="D1590" s="12" t="s">
        <v>26</v>
      </c>
      <c r="E1590" s="13" t="s">
        <v>38</v>
      </c>
      <c r="F1590" s="14">
        <v>0.045</v>
      </c>
      <c r="G1590" s="18"/>
    </row>
    <row r="1591">
      <c r="A1591" s="4" t="s">
        <v>1486</v>
      </c>
      <c r="B1591" s="10">
        <v>2823298.0</v>
      </c>
      <c r="C1591" s="16" t="s">
        <v>1414</v>
      </c>
      <c r="D1591" s="12" t="s">
        <v>26</v>
      </c>
      <c r="E1591" s="13" t="s">
        <v>38</v>
      </c>
      <c r="F1591" s="14">
        <v>0.04949074074074074</v>
      </c>
      <c r="G1591" s="15"/>
    </row>
    <row r="1592">
      <c r="A1592" s="4" t="s">
        <v>1486</v>
      </c>
      <c r="B1592" s="10">
        <v>2824205.0</v>
      </c>
      <c r="C1592" s="16" t="s">
        <v>1415</v>
      </c>
      <c r="D1592" s="12" t="s">
        <v>26</v>
      </c>
      <c r="E1592" s="13" t="s">
        <v>38</v>
      </c>
      <c r="F1592" s="14">
        <v>0.1133912037037037</v>
      </c>
      <c r="G1592" s="18"/>
    </row>
    <row r="1593">
      <c r="A1593" s="4" t="s">
        <v>1486</v>
      </c>
      <c r="B1593" s="10">
        <v>2825034.0</v>
      </c>
      <c r="C1593" s="16" t="s">
        <v>1530</v>
      </c>
      <c r="D1593" s="12" t="s">
        <v>26</v>
      </c>
      <c r="E1593" s="13" t="s">
        <v>38</v>
      </c>
      <c r="F1593" s="14">
        <v>0.03245370370370371</v>
      </c>
      <c r="G1593" s="29"/>
    </row>
    <row r="1594">
      <c r="A1594" s="4" t="s">
        <v>1486</v>
      </c>
      <c r="B1594" s="10">
        <v>2813184.0</v>
      </c>
      <c r="C1594" s="16" t="s">
        <v>43</v>
      </c>
      <c r="D1594" s="12" t="s">
        <v>26</v>
      </c>
      <c r="E1594" s="13" t="s">
        <v>38</v>
      </c>
      <c r="F1594" s="14">
        <v>0.031967592592592596</v>
      </c>
      <c r="G1594" s="29"/>
    </row>
    <row r="1595">
      <c r="A1595" s="4" t="s">
        <v>1486</v>
      </c>
      <c r="B1595" s="10">
        <v>2813277.0</v>
      </c>
      <c r="C1595" s="16" t="s">
        <v>44</v>
      </c>
      <c r="D1595" s="12" t="s">
        <v>26</v>
      </c>
      <c r="E1595" s="13" t="s">
        <v>38</v>
      </c>
      <c r="F1595" s="14">
        <v>0.030532407407407407</v>
      </c>
      <c r="G1595" s="17"/>
    </row>
    <row r="1596">
      <c r="A1596" s="4" t="s">
        <v>1486</v>
      </c>
      <c r="B1596" s="10">
        <v>2831005.0</v>
      </c>
      <c r="C1596" s="16" t="s">
        <v>1531</v>
      </c>
      <c r="D1596" s="12" t="s">
        <v>26</v>
      </c>
      <c r="E1596" s="13" t="s">
        <v>38</v>
      </c>
      <c r="F1596" s="14">
        <v>0.021597222222222223</v>
      </c>
      <c r="G1596" s="17"/>
    </row>
    <row r="1597">
      <c r="A1597" s="4" t="s">
        <v>1486</v>
      </c>
      <c r="B1597" s="10">
        <v>2823512.0</v>
      </c>
      <c r="C1597" s="16" t="s">
        <v>58</v>
      </c>
      <c r="D1597" s="12" t="s">
        <v>26</v>
      </c>
      <c r="E1597" s="13" t="s">
        <v>38</v>
      </c>
      <c r="F1597" s="14">
        <v>0.03369212962962963</v>
      </c>
      <c r="G1597" s="17"/>
    </row>
    <row r="1598">
      <c r="A1598" s="4" t="s">
        <v>1486</v>
      </c>
      <c r="B1598" s="10">
        <v>2834000.0</v>
      </c>
      <c r="C1598" s="16" t="s">
        <v>1325</v>
      </c>
      <c r="D1598" s="12" t="s">
        <v>26</v>
      </c>
      <c r="E1598" s="13" t="s">
        <v>38</v>
      </c>
      <c r="F1598" s="14">
        <v>0.029988425925925925</v>
      </c>
      <c r="G1598" s="17"/>
    </row>
    <row r="1599">
      <c r="A1599" s="4" t="s">
        <v>1486</v>
      </c>
      <c r="B1599" s="10">
        <v>2822640.0</v>
      </c>
      <c r="C1599" s="16" t="s">
        <v>1532</v>
      </c>
      <c r="D1599" s="12" t="s">
        <v>26</v>
      </c>
      <c r="E1599" s="13" t="s">
        <v>38</v>
      </c>
      <c r="F1599" s="14">
        <v>0.021574074074074075</v>
      </c>
      <c r="G1599" s="17"/>
    </row>
    <row r="1600">
      <c r="A1600" s="4" t="s">
        <v>1486</v>
      </c>
      <c r="B1600" s="10">
        <v>2885197.0</v>
      </c>
      <c r="C1600" s="16" t="s">
        <v>1533</v>
      </c>
      <c r="D1600" s="12" t="s">
        <v>26</v>
      </c>
      <c r="E1600" s="13" t="s">
        <v>38</v>
      </c>
      <c r="F1600" s="14">
        <v>0.03333333333333333</v>
      </c>
      <c r="G1600" s="17"/>
    </row>
    <row r="1601">
      <c r="A1601" s="4" t="s">
        <v>1486</v>
      </c>
      <c r="B1601" s="10">
        <v>2880278.0</v>
      </c>
      <c r="C1601" s="16" t="s">
        <v>1534</v>
      </c>
      <c r="D1601" s="12" t="s">
        <v>26</v>
      </c>
      <c r="E1601" s="13" t="s">
        <v>38</v>
      </c>
      <c r="F1601" s="14">
        <v>0.026990740740740742</v>
      </c>
      <c r="G1601" s="33"/>
    </row>
    <row r="1602">
      <c r="A1602" s="4" t="s">
        <v>1486</v>
      </c>
      <c r="B1602" s="10">
        <v>2880241.0</v>
      </c>
      <c r="C1602" s="16" t="s">
        <v>1535</v>
      </c>
      <c r="D1602" s="12" t="s">
        <v>26</v>
      </c>
      <c r="E1602" s="13" t="s">
        <v>38</v>
      </c>
      <c r="F1602" s="14">
        <v>0.014965277777777777</v>
      </c>
      <c r="G1602" s="17"/>
    </row>
    <row r="1603">
      <c r="A1603" s="4" t="s">
        <v>1486</v>
      </c>
      <c r="B1603" s="10">
        <v>3158741.0</v>
      </c>
      <c r="C1603" s="16" t="s">
        <v>1536</v>
      </c>
      <c r="D1603" s="12" t="s">
        <v>26</v>
      </c>
      <c r="E1603" s="13" t="s">
        <v>38</v>
      </c>
      <c r="F1603" s="14">
        <v>0.026539351851851852</v>
      </c>
      <c r="G1603" s="29"/>
    </row>
    <row r="1604">
      <c r="A1604" s="4" t="s">
        <v>1486</v>
      </c>
      <c r="B1604" s="10">
        <v>2424510.0</v>
      </c>
      <c r="C1604" s="16" t="s">
        <v>1537</v>
      </c>
      <c r="D1604" s="12" t="s">
        <v>26</v>
      </c>
      <c r="E1604" s="13" t="s">
        <v>38</v>
      </c>
      <c r="F1604" s="14">
        <v>0.039108796296296294</v>
      </c>
      <c r="G1604" s="17"/>
    </row>
    <row r="1605">
      <c r="A1605" s="4" t="s">
        <v>1486</v>
      </c>
      <c r="B1605" s="10">
        <v>2886284.0</v>
      </c>
      <c r="C1605" s="16" t="s">
        <v>1538</v>
      </c>
      <c r="D1605" s="12" t="s">
        <v>26</v>
      </c>
      <c r="E1605" s="13" t="s">
        <v>38</v>
      </c>
      <c r="F1605" s="14">
        <v>0.05841435185185185</v>
      </c>
      <c r="G1605" s="33"/>
    </row>
    <row r="1606">
      <c r="A1606" s="4" t="s">
        <v>1486</v>
      </c>
      <c r="B1606" s="10">
        <v>3011076.0</v>
      </c>
      <c r="C1606" s="16" t="s">
        <v>1539</v>
      </c>
      <c r="D1606" s="12" t="s">
        <v>26</v>
      </c>
      <c r="E1606" s="13" t="s">
        <v>38</v>
      </c>
      <c r="F1606" s="14">
        <v>0.03364583333333333</v>
      </c>
      <c r="G1606" s="29"/>
    </row>
    <row r="1607">
      <c r="A1607" s="4" t="s">
        <v>1486</v>
      </c>
      <c r="B1607" s="10">
        <v>3013332.0</v>
      </c>
      <c r="C1607" s="16" t="s">
        <v>1540</v>
      </c>
      <c r="D1607" s="12" t="s">
        <v>26</v>
      </c>
      <c r="E1607" s="13" t="s">
        <v>38</v>
      </c>
      <c r="F1607" s="14">
        <v>0.04259259259259259</v>
      </c>
      <c r="G1607" s="29"/>
    </row>
    <row r="1608">
      <c r="A1608" s="4" t="s">
        <v>1486</v>
      </c>
      <c r="B1608" s="10">
        <v>2833007.0</v>
      </c>
      <c r="C1608" s="16" t="s">
        <v>1541</v>
      </c>
      <c r="D1608" s="12" t="s">
        <v>26</v>
      </c>
      <c r="E1608" s="13" t="s">
        <v>19</v>
      </c>
      <c r="F1608" s="14">
        <v>0.019328703703703702</v>
      </c>
      <c r="G1608" s="29"/>
    </row>
    <row r="1609">
      <c r="A1609" s="4" t="s">
        <v>1486</v>
      </c>
      <c r="B1609" s="10">
        <v>765311.0</v>
      </c>
      <c r="C1609" s="16" t="s">
        <v>1542</v>
      </c>
      <c r="D1609" s="12" t="s">
        <v>26</v>
      </c>
      <c r="E1609" s="13" t="s">
        <v>19</v>
      </c>
      <c r="F1609" s="14">
        <v>0.13936342592592593</v>
      </c>
      <c r="G1609" s="17"/>
    </row>
    <row r="1610">
      <c r="A1610" s="4" t="s">
        <v>1486</v>
      </c>
      <c r="B1610" s="10">
        <v>648914.0</v>
      </c>
      <c r="C1610" s="16" t="s">
        <v>1543</v>
      </c>
      <c r="D1610" s="12" t="s">
        <v>26</v>
      </c>
      <c r="E1610" s="13" t="s">
        <v>19</v>
      </c>
      <c r="F1610" s="14">
        <v>0.050243055555555555</v>
      </c>
      <c r="G1610" s="29"/>
    </row>
    <row r="1611">
      <c r="A1611" s="4" t="s">
        <v>1486</v>
      </c>
      <c r="B1611" s="10">
        <v>2806198.0</v>
      </c>
      <c r="C1611" s="16" t="s">
        <v>1544</v>
      </c>
      <c r="D1611" s="12" t="s">
        <v>26</v>
      </c>
      <c r="E1611" s="13" t="s">
        <v>19</v>
      </c>
      <c r="F1611" s="14">
        <v>0.01638888888888889</v>
      </c>
      <c r="G1611" s="21"/>
    </row>
    <row r="1612">
      <c r="A1612" s="4" t="s">
        <v>1486</v>
      </c>
      <c r="B1612" s="10">
        <v>2813142.0</v>
      </c>
      <c r="C1612" s="16" t="s">
        <v>1545</v>
      </c>
      <c r="D1612" s="12" t="s">
        <v>26</v>
      </c>
      <c r="E1612" s="13" t="s">
        <v>19</v>
      </c>
      <c r="F1612" s="14">
        <v>0.02826388888888889</v>
      </c>
      <c r="G1612" s="21"/>
    </row>
    <row r="1613">
      <c r="A1613" s="4" t="s">
        <v>1486</v>
      </c>
      <c r="B1613" s="10">
        <v>2823553.0</v>
      </c>
      <c r="C1613" s="16" t="s">
        <v>1546</v>
      </c>
      <c r="D1613" s="12" t="s">
        <v>26</v>
      </c>
      <c r="E1613" s="13" t="s">
        <v>19</v>
      </c>
      <c r="F1613" s="14">
        <v>0.03221064814814815</v>
      </c>
      <c r="G1613" s="22"/>
    </row>
    <row r="1614">
      <c r="A1614" s="4" t="s">
        <v>1486</v>
      </c>
      <c r="B1614" s="10">
        <v>3129470.0</v>
      </c>
      <c r="C1614" s="16" t="s">
        <v>1547</v>
      </c>
      <c r="D1614" s="12" t="s">
        <v>26</v>
      </c>
      <c r="E1614" s="13" t="s">
        <v>19</v>
      </c>
      <c r="F1614" s="14">
        <v>0.04142361111111111</v>
      </c>
      <c r="G1614" s="21"/>
    </row>
    <row r="1615">
      <c r="A1615" s="4" t="s">
        <v>1486</v>
      </c>
      <c r="B1615" s="10">
        <v>3018273.0</v>
      </c>
      <c r="C1615" s="16" t="s">
        <v>1548</v>
      </c>
      <c r="D1615" s="12" t="s">
        <v>26</v>
      </c>
      <c r="E1615" s="13" t="s">
        <v>26</v>
      </c>
      <c r="F1615" s="14">
        <v>0.011550925925925926</v>
      </c>
      <c r="G1615" s="21"/>
    </row>
    <row r="1616">
      <c r="A1616" s="4" t="s">
        <v>1486</v>
      </c>
      <c r="B1616" s="10">
        <v>774893.0</v>
      </c>
      <c r="C1616" s="16" t="s">
        <v>1549</v>
      </c>
      <c r="D1616" s="12" t="s">
        <v>26</v>
      </c>
      <c r="E1616" s="13" t="s">
        <v>26</v>
      </c>
      <c r="F1616" s="14">
        <v>0.04258101851851852</v>
      </c>
      <c r="G1616" s="21"/>
    </row>
    <row r="1617">
      <c r="A1617" s="4" t="s">
        <v>1486</v>
      </c>
      <c r="B1617" s="10">
        <v>2824220.0</v>
      </c>
      <c r="C1617" s="16" t="s">
        <v>1550</v>
      </c>
      <c r="D1617" s="12" t="s">
        <v>26</v>
      </c>
      <c r="E1617" s="13" t="s">
        <v>26</v>
      </c>
      <c r="F1617" s="14">
        <v>0.007789351851851852</v>
      </c>
      <c r="G1617" s="21"/>
    </row>
    <row r="1618">
      <c r="A1618" s="4" t="s">
        <v>1486</v>
      </c>
      <c r="B1618" s="10">
        <v>2824219.0</v>
      </c>
      <c r="C1618" s="16" t="s">
        <v>1551</v>
      </c>
      <c r="D1618" s="12" t="s">
        <v>26</v>
      </c>
      <c r="E1618" s="13" t="s">
        <v>26</v>
      </c>
      <c r="F1618" s="14">
        <v>0.0068865740740740745</v>
      </c>
      <c r="G1618" s="21"/>
    </row>
    <row r="1619">
      <c r="A1619" s="4" t="s">
        <v>1486</v>
      </c>
      <c r="B1619" s="10">
        <v>2836016.0</v>
      </c>
      <c r="C1619" s="16" t="s">
        <v>1478</v>
      </c>
      <c r="D1619" s="12" t="s">
        <v>26</v>
      </c>
      <c r="E1619" s="13" t="s">
        <v>26</v>
      </c>
      <c r="F1619" s="14">
        <v>0.03394675925925926</v>
      </c>
      <c r="G1619" s="21"/>
    </row>
    <row r="1620">
      <c r="A1620" s="4" t="s">
        <v>1486</v>
      </c>
      <c r="B1620" s="10">
        <v>2820009.0</v>
      </c>
      <c r="C1620" s="16" t="s">
        <v>1552</v>
      </c>
      <c r="D1620" s="12" t="s">
        <v>26</v>
      </c>
      <c r="E1620" s="13" t="s">
        <v>26</v>
      </c>
      <c r="F1620" s="14">
        <v>0.08025462962962963</v>
      </c>
      <c r="G1620" s="21"/>
    </row>
    <row r="1621">
      <c r="A1621" s="4" t="s">
        <v>1486</v>
      </c>
      <c r="B1621" s="10">
        <v>2822042.0</v>
      </c>
      <c r="C1621" s="16" t="s">
        <v>1553</v>
      </c>
      <c r="D1621" s="12" t="s">
        <v>26</v>
      </c>
      <c r="E1621" s="13" t="s">
        <v>26</v>
      </c>
      <c r="F1621" s="14">
        <v>0.027511574074074074</v>
      </c>
      <c r="G1621" s="21"/>
    </row>
    <row r="1622">
      <c r="A1622" s="4" t="s">
        <v>1486</v>
      </c>
      <c r="B1622" s="10">
        <v>2837263.0</v>
      </c>
      <c r="C1622" s="16" t="s">
        <v>1554</v>
      </c>
      <c r="D1622" s="12" t="s">
        <v>26</v>
      </c>
      <c r="E1622" s="13" t="s">
        <v>26</v>
      </c>
      <c r="F1622" s="14">
        <v>0.009664351851851851</v>
      </c>
      <c r="G1622" s="21"/>
    </row>
    <row r="1623">
      <c r="A1623" s="4" t="s">
        <v>1486</v>
      </c>
      <c r="B1623" s="10">
        <v>2839078.0</v>
      </c>
      <c r="C1623" s="16" t="s">
        <v>1555</v>
      </c>
      <c r="D1623" s="12" t="s">
        <v>26</v>
      </c>
      <c r="E1623" s="13" t="s">
        <v>26</v>
      </c>
      <c r="F1623" s="14">
        <v>0.011747685185185186</v>
      </c>
      <c r="G1623" s="21"/>
    </row>
    <row r="1624">
      <c r="A1624" s="4" t="s">
        <v>1486</v>
      </c>
      <c r="B1624" s="10">
        <v>3129471.0</v>
      </c>
      <c r="C1624" s="16" t="s">
        <v>1556</v>
      </c>
      <c r="D1624" s="12" t="s">
        <v>26</v>
      </c>
      <c r="E1624" s="13" t="s">
        <v>26</v>
      </c>
      <c r="F1624" s="14">
        <v>0.020243055555555556</v>
      </c>
      <c r="G1624" s="21"/>
    </row>
    <row r="1625">
      <c r="A1625" s="4" t="s">
        <v>1486</v>
      </c>
      <c r="B1625" s="10">
        <v>2875306.0</v>
      </c>
      <c r="C1625" s="16" t="s">
        <v>1557</v>
      </c>
      <c r="D1625" s="12" t="s">
        <v>26</v>
      </c>
      <c r="E1625" s="13" t="s">
        <v>26</v>
      </c>
      <c r="F1625" s="14">
        <v>0.02596064814814815</v>
      </c>
      <c r="G1625" s="21"/>
    </row>
    <row r="1626">
      <c r="A1626" s="4" t="s">
        <v>1486</v>
      </c>
      <c r="B1626" s="10">
        <v>2422738.0</v>
      </c>
      <c r="C1626" s="16" t="s">
        <v>1558</v>
      </c>
      <c r="D1626" s="12" t="s">
        <v>26</v>
      </c>
      <c r="E1626" s="13" t="s">
        <v>26</v>
      </c>
      <c r="F1626" s="14">
        <v>0.03635416666666667</v>
      </c>
      <c r="G1626" s="21"/>
    </row>
    <row r="1627">
      <c r="A1627" s="4" t="s">
        <v>1486</v>
      </c>
      <c r="B1627" s="10">
        <v>2423501.0</v>
      </c>
      <c r="C1627" s="16" t="s">
        <v>1559</v>
      </c>
      <c r="D1627" s="12" t="s">
        <v>26</v>
      </c>
      <c r="E1627" s="13" t="s">
        <v>26</v>
      </c>
      <c r="F1627" s="14">
        <v>0.025752314814814815</v>
      </c>
      <c r="G1627" s="21"/>
    </row>
    <row r="1628">
      <c r="A1628" s="4" t="s">
        <v>1486</v>
      </c>
      <c r="B1628" s="10">
        <v>2427503.0</v>
      </c>
      <c r="C1628" s="16" t="s">
        <v>1560</v>
      </c>
      <c r="D1628" s="12" t="s">
        <v>26</v>
      </c>
      <c r="E1628" s="13" t="s">
        <v>15</v>
      </c>
      <c r="F1628" s="14">
        <v>0.05462962962962963</v>
      </c>
      <c r="G1628" s="21"/>
    </row>
    <row r="1629">
      <c r="A1629" s="4" t="s">
        <v>1486</v>
      </c>
      <c r="B1629" s="10">
        <v>2822422.0</v>
      </c>
      <c r="C1629" s="16" t="s">
        <v>1333</v>
      </c>
      <c r="D1629" s="12" t="s">
        <v>26</v>
      </c>
      <c r="E1629" s="13" t="s">
        <v>15</v>
      </c>
      <c r="F1629" s="14">
        <v>0.04137731481481482</v>
      </c>
      <c r="G1629" s="21"/>
    </row>
    <row r="1630">
      <c r="A1630" s="4" t="s">
        <v>1486</v>
      </c>
      <c r="B1630" s="10">
        <v>2800329.0</v>
      </c>
      <c r="C1630" s="16" t="s">
        <v>1561</v>
      </c>
      <c r="D1630" s="12" t="s">
        <v>26</v>
      </c>
      <c r="E1630" s="13" t="s">
        <v>15</v>
      </c>
      <c r="F1630" s="14">
        <v>0.03144675925925926</v>
      </c>
      <c r="G1630" s="21"/>
    </row>
    <row r="1631">
      <c r="A1631" s="4" t="s">
        <v>1486</v>
      </c>
      <c r="B1631" s="10">
        <v>699331.0</v>
      </c>
      <c r="C1631" s="11" t="s">
        <v>158</v>
      </c>
      <c r="D1631" s="12" t="s">
        <v>26</v>
      </c>
      <c r="E1631" s="13" t="s">
        <v>15</v>
      </c>
      <c r="F1631" s="14">
        <v>0.03329861111111111</v>
      </c>
      <c r="G1631" s="21"/>
    </row>
    <row r="1632">
      <c r="A1632" s="4" t="s">
        <v>1486</v>
      </c>
      <c r="B1632" s="10">
        <v>5019797.0</v>
      </c>
      <c r="C1632" s="16" t="s">
        <v>1562</v>
      </c>
      <c r="D1632" s="12" t="s">
        <v>26</v>
      </c>
      <c r="E1632" s="13" t="s">
        <v>15</v>
      </c>
      <c r="F1632" s="14">
        <v>0.042118055555555554</v>
      </c>
      <c r="G1632" s="21"/>
    </row>
    <row r="1633">
      <c r="A1633" s="4" t="s">
        <v>1486</v>
      </c>
      <c r="B1633" s="10">
        <v>604222.0</v>
      </c>
      <c r="C1633" s="16" t="s">
        <v>1563</v>
      </c>
      <c r="D1633" s="12" t="s">
        <v>26</v>
      </c>
      <c r="E1633" s="13" t="s">
        <v>15</v>
      </c>
      <c r="F1633" s="14">
        <v>0.043298611111111114</v>
      </c>
      <c r="G1633" s="21"/>
    </row>
    <row r="1634">
      <c r="A1634" s="4" t="s">
        <v>1486</v>
      </c>
      <c r="B1634" s="10">
        <v>483102.0</v>
      </c>
      <c r="C1634" s="16" t="s">
        <v>1334</v>
      </c>
      <c r="D1634" s="12" t="s">
        <v>26</v>
      </c>
      <c r="E1634" s="13" t="s">
        <v>15</v>
      </c>
      <c r="F1634" s="14">
        <v>0.09143518518518519</v>
      </c>
      <c r="G1634" s="21"/>
    </row>
    <row r="1635">
      <c r="A1635" s="4" t="s">
        <v>1486</v>
      </c>
      <c r="B1635" s="10">
        <v>630598.0</v>
      </c>
      <c r="C1635" s="16" t="s">
        <v>1564</v>
      </c>
      <c r="D1635" s="12" t="s">
        <v>26</v>
      </c>
      <c r="E1635" s="13" t="s">
        <v>15</v>
      </c>
      <c r="F1635" s="14">
        <v>0.033680555555555554</v>
      </c>
      <c r="G1635" s="21"/>
    </row>
    <row r="1636">
      <c r="A1636" s="4" t="s">
        <v>1486</v>
      </c>
      <c r="B1636" s="10">
        <v>761930.0</v>
      </c>
      <c r="C1636" s="16" t="s">
        <v>1565</v>
      </c>
      <c r="D1636" s="12" t="s">
        <v>26</v>
      </c>
      <c r="E1636" s="13" t="s">
        <v>15</v>
      </c>
      <c r="F1636" s="14">
        <v>0.04905092592592593</v>
      </c>
      <c r="G1636" s="21"/>
    </row>
    <row r="1637">
      <c r="A1637" s="4" t="s">
        <v>1486</v>
      </c>
      <c r="B1637" s="10">
        <v>761927.0</v>
      </c>
      <c r="C1637" s="16" t="s">
        <v>1566</v>
      </c>
      <c r="D1637" s="12" t="s">
        <v>26</v>
      </c>
      <c r="E1637" s="13" t="s">
        <v>15</v>
      </c>
      <c r="F1637" s="14">
        <v>0.050277777777777775</v>
      </c>
      <c r="G1637" s="21"/>
    </row>
    <row r="1638">
      <c r="A1638" s="4" t="s">
        <v>1486</v>
      </c>
      <c r="B1638" s="10">
        <v>761928.0</v>
      </c>
      <c r="C1638" s="16" t="s">
        <v>1567</v>
      </c>
      <c r="D1638" s="12" t="s">
        <v>26</v>
      </c>
      <c r="E1638" s="13" t="s">
        <v>15</v>
      </c>
      <c r="F1638" s="14">
        <v>0.04804398148148148</v>
      </c>
      <c r="G1638" s="21"/>
    </row>
    <row r="1639">
      <c r="A1639" s="4" t="s">
        <v>1486</v>
      </c>
      <c r="B1639" s="10">
        <v>2823322.0</v>
      </c>
      <c r="C1639" s="16" t="s">
        <v>1568</v>
      </c>
      <c r="D1639" s="12" t="s">
        <v>26</v>
      </c>
      <c r="E1639" s="13" t="s">
        <v>15</v>
      </c>
      <c r="F1639" s="14">
        <v>0.03116898148148148</v>
      </c>
      <c r="G1639" s="21"/>
    </row>
    <row r="1640">
      <c r="A1640" s="4" t="s">
        <v>1486</v>
      </c>
      <c r="B1640" s="10">
        <v>2825693.0</v>
      </c>
      <c r="C1640" s="16" t="s">
        <v>1569</v>
      </c>
      <c r="D1640" s="12" t="s">
        <v>26</v>
      </c>
      <c r="E1640" s="13" t="s">
        <v>15</v>
      </c>
      <c r="F1640" s="14">
        <v>0.07464120370370371</v>
      </c>
      <c r="G1640" s="21"/>
    </row>
    <row r="1641">
      <c r="A1641" s="4" t="s">
        <v>1486</v>
      </c>
      <c r="B1641" s="10">
        <v>2822664.0</v>
      </c>
      <c r="C1641" s="16" t="s">
        <v>1570</v>
      </c>
      <c r="D1641" s="12" t="s">
        <v>26</v>
      </c>
      <c r="E1641" s="13" t="s">
        <v>15</v>
      </c>
      <c r="F1641" s="14">
        <v>0.04922453703703704</v>
      </c>
      <c r="G1641" s="21"/>
    </row>
    <row r="1642">
      <c r="A1642" s="4" t="s">
        <v>1486</v>
      </c>
      <c r="B1642" s="10">
        <v>2824427.0</v>
      </c>
      <c r="C1642" s="16" t="s">
        <v>1213</v>
      </c>
      <c r="D1642" s="12" t="s">
        <v>26</v>
      </c>
      <c r="E1642" s="13" t="s">
        <v>15</v>
      </c>
      <c r="F1642" s="14">
        <v>0.03350694444444444</v>
      </c>
      <c r="G1642" s="21"/>
    </row>
    <row r="1643">
      <c r="A1643" s="4" t="s">
        <v>1486</v>
      </c>
      <c r="B1643" s="10">
        <v>2876175.0</v>
      </c>
      <c r="C1643" s="16" t="s">
        <v>673</v>
      </c>
      <c r="D1643" s="12" t="s">
        <v>26</v>
      </c>
      <c r="E1643" s="13" t="s">
        <v>15</v>
      </c>
      <c r="F1643" s="14">
        <v>0.04106481481481482</v>
      </c>
      <c r="G1643" s="21"/>
    </row>
    <row r="1644">
      <c r="A1644" s="4" t="s">
        <v>1486</v>
      </c>
      <c r="B1644" s="10">
        <v>2856038.0</v>
      </c>
      <c r="C1644" s="16" t="s">
        <v>1571</v>
      </c>
      <c r="D1644" s="12" t="s">
        <v>26</v>
      </c>
      <c r="E1644" s="13" t="s">
        <v>15</v>
      </c>
      <c r="F1644" s="14">
        <v>0.04946759259259259</v>
      </c>
      <c r="G1644" s="21"/>
    </row>
    <row r="1645">
      <c r="A1645" s="4" t="s">
        <v>1486</v>
      </c>
      <c r="B1645" s="10">
        <v>2396687.0</v>
      </c>
      <c r="C1645" s="16" t="s">
        <v>1572</v>
      </c>
      <c r="D1645" s="12" t="s">
        <v>26</v>
      </c>
      <c r="E1645" s="13" t="s">
        <v>15</v>
      </c>
      <c r="F1645" s="14">
        <v>0.018703703703703705</v>
      </c>
      <c r="G1645" s="21"/>
    </row>
    <row r="1646">
      <c r="A1646" s="4" t="s">
        <v>1486</v>
      </c>
      <c r="B1646" s="10">
        <v>2822590.0</v>
      </c>
      <c r="C1646" s="16" t="s">
        <v>1573</v>
      </c>
      <c r="D1646" s="12" t="s">
        <v>26</v>
      </c>
      <c r="E1646" s="13" t="s">
        <v>15</v>
      </c>
      <c r="F1646" s="14">
        <v>0.04019675925925926</v>
      </c>
      <c r="G1646" s="21"/>
    </row>
    <row r="1647">
      <c r="A1647" s="4" t="s">
        <v>1486</v>
      </c>
      <c r="B1647" s="10">
        <v>2893046.0</v>
      </c>
      <c r="C1647" s="16" t="s">
        <v>1574</v>
      </c>
      <c r="D1647" s="12" t="s">
        <v>26</v>
      </c>
      <c r="E1647" s="13" t="s">
        <v>15</v>
      </c>
      <c r="F1647" s="14">
        <v>0.032233796296296295</v>
      </c>
      <c r="G1647" s="21"/>
    </row>
    <row r="1648">
      <c r="A1648" s="4" t="s">
        <v>1486</v>
      </c>
      <c r="B1648" s="10">
        <v>2874109.0</v>
      </c>
      <c r="C1648" s="16" t="s">
        <v>1575</v>
      </c>
      <c r="D1648" s="12" t="s">
        <v>26</v>
      </c>
      <c r="E1648" s="13" t="s">
        <v>15</v>
      </c>
      <c r="F1648" s="14">
        <v>0.0499537037037037</v>
      </c>
      <c r="G1648" s="21"/>
    </row>
    <row r="1649">
      <c r="A1649" s="4" t="s">
        <v>1486</v>
      </c>
      <c r="B1649" s="10">
        <v>2426686.0</v>
      </c>
      <c r="C1649" s="16" t="s">
        <v>1576</v>
      </c>
      <c r="D1649" s="12" t="s">
        <v>26</v>
      </c>
      <c r="E1649" s="13" t="s">
        <v>15</v>
      </c>
      <c r="F1649" s="14">
        <v>0.07907407407407407</v>
      </c>
      <c r="G1649" s="21"/>
    </row>
    <row r="1650">
      <c r="A1650" s="4" t="s">
        <v>1486</v>
      </c>
      <c r="B1650" s="10">
        <v>2430044.0</v>
      </c>
      <c r="C1650" s="16" t="s">
        <v>1577</v>
      </c>
      <c r="D1650" s="12" t="s">
        <v>26</v>
      </c>
      <c r="E1650" s="13" t="s">
        <v>15</v>
      </c>
      <c r="F1650" s="14">
        <v>0.05170138888888889</v>
      </c>
      <c r="G1650" s="21"/>
    </row>
    <row r="1651">
      <c r="A1651" s="4" t="s">
        <v>1486</v>
      </c>
      <c r="B1651" s="10">
        <v>2888136.0</v>
      </c>
      <c r="C1651" s="16" t="s">
        <v>1578</v>
      </c>
      <c r="D1651" s="12" t="s">
        <v>26</v>
      </c>
      <c r="E1651" s="13" t="s">
        <v>15</v>
      </c>
      <c r="F1651" s="14">
        <v>0.05604166666666666</v>
      </c>
      <c r="G1651" s="21"/>
    </row>
    <row r="1652">
      <c r="A1652" s="4" t="s">
        <v>1486</v>
      </c>
      <c r="B1652" s="10">
        <v>2891047.0</v>
      </c>
      <c r="C1652" s="16" t="s">
        <v>1579</v>
      </c>
      <c r="D1652" s="12" t="s">
        <v>26</v>
      </c>
      <c r="E1652" s="13" t="s">
        <v>15</v>
      </c>
      <c r="F1652" s="14">
        <v>0.03476851851851852</v>
      </c>
      <c r="G1652" s="21"/>
    </row>
    <row r="1653">
      <c r="A1653" s="4" t="s">
        <v>1486</v>
      </c>
      <c r="B1653" s="10">
        <v>2893046.0</v>
      </c>
      <c r="C1653" s="16" t="s">
        <v>1574</v>
      </c>
      <c r="D1653" s="12" t="s">
        <v>26</v>
      </c>
      <c r="E1653" s="13" t="s">
        <v>15</v>
      </c>
      <c r="F1653" s="14">
        <v>0.032233796296296295</v>
      </c>
      <c r="G1653" s="21"/>
    </row>
    <row r="1654">
      <c r="A1654" s="4" t="s">
        <v>1486</v>
      </c>
      <c r="B1654" s="10">
        <v>3013249.0</v>
      </c>
      <c r="C1654" s="16" t="s">
        <v>1580</v>
      </c>
      <c r="D1654" s="12" t="s">
        <v>26</v>
      </c>
      <c r="E1654" s="13" t="s">
        <v>15</v>
      </c>
      <c r="F1654" s="14">
        <v>0.04539351851851852</v>
      </c>
      <c r="G1654" s="21"/>
    </row>
    <row r="1655">
      <c r="A1655" s="4" t="s">
        <v>1486</v>
      </c>
      <c r="B1655" s="10">
        <v>3158742.0</v>
      </c>
      <c r="C1655" s="16" t="s">
        <v>1581</v>
      </c>
      <c r="D1655" s="12" t="s">
        <v>26</v>
      </c>
      <c r="E1655" s="13" t="s">
        <v>15</v>
      </c>
      <c r="F1655" s="14">
        <v>0.04583333333333333</v>
      </c>
      <c r="G1655" s="21"/>
    </row>
    <row r="1656">
      <c r="A1656" s="4" t="s">
        <v>1582</v>
      </c>
      <c r="B1656" s="5" t="s">
        <v>8</v>
      </c>
      <c r="C1656" s="6" t="s">
        <v>9</v>
      </c>
      <c r="D1656" s="7" t="s">
        <v>3</v>
      </c>
      <c r="E1656" s="7" t="s">
        <v>10</v>
      </c>
      <c r="F1656" s="8" t="s">
        <v>11</v>
      </c>
      <c r="G1656" s="9" t="s">
        <v>12</v>
      </c>
    </row>
    <row r="1657">
      <c r="A1657" s="4" t="s">
        <v>1582</v>
      </c>
      <c r="B1657" s="10">
        <v>740417.0</v>
      </c>
      <c r="C1657" s="16" t="s">
        <v>430</v>
      </c>
      <c r="D1657" s="12" t="s">
        <v>14</v>
      </c>
      <c r="E1657" s="13" t="s">
        <v>38</v>
      </c>
      <c r="F1657" s="14">
        <v>0.030462962962962963</v>
      </c>
      <c r="G1657" s="15" t="s">
        <v>1583</v>
      </c>
    </row>
    <row r="1658">
      <c r="A1658" s="4" t="s">
        <v>1582</v>
      </c>
      <c r="B1658" s="10">
        <v>2825603.0</v>
      </c>
      <c r="C1658" s="16" t="s">
        <v>680</v>
      </c>
      <c r="D1658" s="12" t="s">
        <v>34</v>
      </c>
      <c r="E1658" s="13" t="s">
        <v>38</v>
      </c>
      <c r="F1658" s="14">
        <v>0.04846064814814815</v>
      </c>
      <c r="G1658" s="15" t="s">
        <v>1584</v>
      </c>
    </row>
    <row r="1659">
      <c r="A1659" s="4" t="s">
        <v>1582</v>
      </c>
      <c r="B1659" s="10">
        <v>693074.0</v>
      </c>
      <c r="C1659" s="16" t="s">
        <v>1585</v>
      </c>
      <c r="D1659" s="12" t="s">
        <v>34</v>
      </c>
      <c r="E1659" s="13" t="s">
        <v>15</v>
      </c>
      <c r="F1659" s="14">
        <v>0.019791666666666666</v>
      </c>
      <c r="G1659" s="18" t="s">
        <v>1586</v>
      </c>
    </row>
    <row r="1660">
      <c r="A1660" s="4" t="s">
        <v>1582</v>
      </c>
      <c r="B1660" s="10">
        <v>2887215.0</v>
      </c>
      <c r="C1660" s="16" t="s">
        <v>1587</v>
      </c>
      <c r="D1660" s="12" t="s">
        <v>34</v>
      </c>
      <c r="E1660" s="13" t="s">
        <v>15</v>
      </c>
      <c r="F1660" s="14">
        <v>0.048935185185185186</v>
      </c>
      <c r="G1660" s="18" t="s">
        <v>1588</v>
      </c>
    </row>
    <row r="1661">
      <c r="A1661" s="4" t="s">
        <v>1582</v>
      </c>
      <c r="B1661" s="10">
        <v>2422520.0</v>
      </c>
      <c r="C1661" s="16" t="s">
        <v>1589</v>
      </c>
      <c r="D1661" s="12" t="s">
        <v>34</v>
      </c>
      <c r="E1661" s="13" t="s">
        <v>15</v>
      </c>
      <c r="F1661" s="14">
        <v>0.04732638888888889</v>
      </c>
      <c r="G1661" s="18" t="s">
        <v>1590</v>
      </c>
    </row>
    <row r="1662">
      <c r="A1662" s="4" t="s">
        <v>1582</v>
      </c>
      <c r="B1662" s="10">
        <v>3005391.0</v>
      </c>
      <c r="C1662" s="16" t="s">
        <v>1591</v>
      </c>
      <c r="D1662" s="12" t="s">
        <v>34</v>
      </c>
      <c r="E1662" s="13" t="s">
        <v>15</v>
      </c>
      <c r="F1662" s="14">
        <v>0.042326388888888886</v>
      </c>
      <c r="G1662" s="18" t="s">
        <v>292</v>
      </c>
    </row>
    <row r="1663">
      <c r="A1663" s="4" t="s">
        <v>1582</v>
      </c>
      <c r="B1663" s="10">
        <v>3009411.0</v>
      </c>
      <c r="C1663" s="16" t="s">
        <v>1592</v>
      </c>
      <c r="D1663" s="12" t="s">
        <v>34</v>
      </c>
      <c r="E1663" s="13" t="s">
        <v>15</v>
      </c>
      <c r="F1663" s="14">
        <v>0.03460648148148148</v>
      </c>
      <c r="G1663" s="18" t="s">
        <v>1593</v>
      </c>
    </row>
    <row r="1664">
      <c r="A1664" s="4" t="s">
        <v>1582</v>
      </c>
      <c r="B1664" s="10">
        <v>2424509.0</v>
      </c>
      <c r="C1664" s="16" t="s">
        <v>1594</v>
      </c>
      <c r="D1664" s="12" t="s">
        <v>34</v>
      </c>
      <c r="E1664" s="13" t="s">
        <v>109</v>
      </c>
      <c r="F1664" s="14">
        <v>0.031469907407407405</v>
      </c>
      <c r="G1664" s="15" t="s">
        <v>1595</v>
      </c>
    </row>
    <row r="1665">
      <c r="A1665" s="4" t="s">
        <v>1582</v>
      </c>
      <c r="B1665" s="10">
        <v>2881016.0</v>
      </c>
      <c r="C1665" s="16" t="s">
        <v>1596</v>
      </c>
      <c r="D1665" s="12" t="s">
        <v>31</v>
      </c>
      <c r="E1665" s="13" t="s">
        <v>109</v>
      </c>
      <c r="F1665" s="14">
        <v>0.03706018518518518</v>
      </c>
      <c r="G1665" s="15" t="s">
        <v>402</v>
      </c>
    </row>
    <row r="1666">
      <c r="A1666" s="4" t="s">
        <v>1582</v>
      </c>
      <c r="B1666" s="10">
        <v>2886012.0</v>
      </c>
      <c r="C1666" s="16" t="s">
        <v>1131</v>
      </c>
      <c r="D1666" s="12" t="s">
        <v>31</v>
      </c>
      <c r="E1666" s="13" t="s">
        <v>38</v>
      </c>
      <c r="F1666" s="14">
        <v>0.08030092592592593</v>
      </c>
      <c r="G1666" s="15"/>
    </row>
    <row r="1667">
      <c r="A1667" s="4" t="s">
        <v>1582</v>
      </c>
      <c r="B1667" s="10">
        <v>2870132.0</v>
      </c>
      <c r="C1667" s="16" t="s">
        <v>1597</v>
      </c>
      <c r="D1667" s="12" t="s">
        <v>31</v>
      </c>
      <c r="E1667" s="13" t="s">
        <v>38</v>
      </c>
      <c r="F1667" s="14">
        <v>0.05201388888888889</v>
      </c>
      <c r="G1667" s="15"/>
    </row>
    <row r="1668">
      <c r="A1668" s="4" t="s">
        <v>1582</v>
      </c>
      <c r="B1668" s="10">
        <v>2427402.0</v>
      </c>
      <c r="C1668" s="16" t="s">
        <v>1598</v>
      </c>
      <c r="D1668" s="12" t="s">
        <v>31</v>
      </c>
      <c r="E1668" s="13" t="s">
        <v>38</v>
      </c>
      <c r="F1668" s="14">
        <v>0.034270833333333334</v>
      </c>
      <c r="G1668" s="15"/>
    </row>
    <row r="1669">
      <c r="A1669" s="4" t="s">
        <v>1582</v>
      </c>
      <c r="B1669" s="10">
        <v>2447221.0</v>
      </c>
      <c r="C1669" s="16" t="s">
        <v>1599</v>
      </c>
      <c r="D1669" s="12" t="s">
        <v>31</v>
      </c>
      <c r="E1669" s="13" t="s">
        <v>38</v>
      </c>
      <c r="F1669" s="14">
        <v>0.033587962962962965</v>
      </c>
      <c r="G1669" s="21"/>
    </row>
    <row r="1670">
      <c r="A1670" s="4" t="s">
        <v>1582</v>
      </c>
      <c r="B1670" s="10">
        <v>3011322.0</v>
      </c>
      <c r="C1670" s="16" t="s">
        <v>1600</v>
      </c>
      <c r="D1670" s="12" t="s">
        <v>31</v>
      </c>
      <c r="E1670" s="13" t="s">
        <v>15</v>
      </c>
      <c r="F1670" s="14">
        <v>0.026261574074074073</v>
      </c>
      <c r="G1670" s="21"/>
    </row>
    <row r="1671">
      <c r="A1671" s="4" t="s">
        <v>1582</v>
      </c>
      <c r="B1671" s="10">
        <v>2425482.0</v>
      </c>
      <c r="C1671" s="16" t="s">
        <v>1601</v>
      </c>
      <c r="D1671" s="12" t="s">
        <v>31</v>
      </c>
      <c r="E1671" s="13" t="s">
        <v>15</v>
      </c>
      <c r="F1671" s="14">
        <v>0.029409722222222223</v>
      </c>
      <c r="G1671" s="21"/>
    </row>
    <row r="1672">
      <c r="A1672" s="4" t="s">
        <v>1582</v>
      </c>
      <c r="B1672" s="10">
        <v>2880279.0</v>
      </c>
      <c r="C1672" s="16" t="s">
        <v>1602</v>
      </c>
      <c r="D1672" s="12" t="s">
        <v>31</v>
      </c>
      <c r="E1672" s="13" t="s">
        <v>15</v>
      </c>
      <c r="F1672" s="14">
        <v>0.024988425925925924</v>
      </c>
      <c r="G1672" s="21"/>
    </row>
    <row r="1673">
      <c r="A1673" s="4" t="s">
        <v>1582</v>
      </c>
      <c r="B1673" s="10">
        <v>2825692.0</v>
      </c>
      <c r="C1673" s="16" t="s">
        <v>1603</v>
      </c>
      <c r="D1673" s="12" t="s">
        <v>31</v>
      </c>
      <c r="E1673" s="13" t="s">
        <v>15</v>
      </c>
      <c r="F1673" s="14">
        <v>0.03408564814814815</v>
      </c>
      <c r="G1673" s="21"/>
    </row>
    <row r="1674">
      <c r="A1674" s="4" t="s">
        <v>1582</v>
      </c>
      <c r="B1674" s="10">
        <v>2422439.0</v>
      </c>
      <c r="C1674" s="16" t="s">
        <v>1604</v>
      </c>
      <c r="D1674" s="12" t="s">
        <v>31</v>
      </c>
      <c r="E1674" s="13" t="s">
        <v>15</v>
      </c>
      <c r="F1674" s="14">
        <v>0.02380787037037037</v>
      </c>
      <c r="G1674" s="22"/>
    </row>
    <row r="1675">
      <c r="A1675" s="4" t="s">
        <v>1582</v>
      </c>
      <c r="B1675" s="10">
        <v>193708.0</v>
      </c>
      <c r="C1675" s="16" t="s">
        <v>1605</v>
      </c>
      <c r="D1675" s="12" t="s">
        <v>26</v>
      </c>
      <c r="E1675" s="13" t="s">
        <v>38</v>
      </c>
      <c r="F1675" s="14">
        <v>0.03832175925925926</v>
      </c>
      <c r="G1675" s="22"/>
    </row>
    <row r="1676">
      <c r="A1676" s="4" t="s">
        <v>1582</v>
      </c>
      <c r="B1676" s="10">
        <v>651189.0</v>
      </c>
      <c r="C1676" s="16" t="s">
        <v>1606</v>
      </c>
      <c r="D1676" s="12" t="s">
        <v>26</v>
      </c>
      <c r="E1676" s="13" t="s">
        <v>38</v>
      </c>
      <c r="F1676" s="14">
        <v>0.038657407407407404</v>
      </c>
      <c r="G1676" s="21"/>
    </row>
    <row r="1677">
      <c r="A1677" s="4" t="s">
        <v>1582</v>
      </c>
      <c r="B1677" s="10">
        <v>802826.0</v>
      </c>
      <c r="C1677" s="16" t="s">
        <v>1607</v>
      </c>
      <c r="D1677" s="12" t="s">
        <v>26</v>
      </c>
      <c r="E1677" s="13" t="s">
        <v>38</v>
      </c>
      <c r="F1677" s="14">
        <v>0.03302083333333333</v>
      </c>
      <c r="G1677" s="21"/>
    </row>
    <row r="1678">
      <c r="A1678" s="4" t="s">
        <v>1582</v>
      </c>
      <c r="B1678" s="10">
        <v>2807101.0</v>
      </c>
      <c r="C1678" s="16" t="s">
        <v>1608</v>
      </c>
      <c r="D1678" s="12" t="s">
        <v>26</v>
      </c>
      <c r="E1678" s="13" t="s">
        <v>38</v>
      </c>
      <c r="F1678" s="14">
        <v>0.02761574074074074</v>
      </c>
      <c r="G1678" s="21"/>
    </row>
    <row r="1679">
      <c r="A1679" s="4" t="s">
        <v>1582</v>
      </c>
      <c r="B1679" s="10">
        <v>2815116.0</v>
      </c>
      <c r="C1679" s="16" t="s">
        <v>1609</v>
      </c>
      <c r="D1679" s="12" t="s">
        <v>26</v>
      </c>
      <c r="E1679" s="13" t="s">
        <v>38</v>
      </c>
      <c r="F1679" s="14">
        <v>0.026678240740740742</v>
      </c>
      <c r="G1679" s="21"/>
    </row>
    <row r="1680">
      <c r="A1680" s="4" t="s">
        <v>1582</v>
      </c>
      <c r="B1680" s="10">
        <v>2822580.0</v>
      </c>
      <c r="C1680" s="16" t="s">
        <v>698</v>
      </c>
      <c r="D1680" s="12" t="s">
        <v>26</v>
      </c>
      <c r="E1680" s="13" t="s">
        <v>38</v>
      </c>
      <c r="F1680" s="14">
        <v>0.04043981481481482</v>
      </c>
      <c r="G1680" s="22"/>
    </row>
    <row r="1681">
      <c r="A1681" s="4" t="s">
        <v>1582</v>
      </c>
      <c r="B1681" s="10">
        <v>2822581.0</v>
      </c>
      <c r="C1681" s="16" t="s">
        <v>699</v>
      </c>
      <c r="D1681" s="12" t="s">
        <v>26</v>
      </c>
      <c r="E1681" s="13" t="s">
        <v>38</v>
      </c>
      <c r="F1681" s="14">
        <v>0.04525462962962963</v>
      </c>
      <c r="G1681" s="21"/>
    </row>
    <row r="1682">
      <c r="A1682" s="4" t="s">
        <v>1582</v>
      </c>
      <c r="B1682" s="10">
        <v>2822582.0</v>
      </c>
      <c r="C1682" s="16" t="s">
        <v>700</v>
      </c>
      <c r="D1682" s="12" t="s">
        <v>26</v>
      </c>
      <c r="E1682" s="13" t="s">
        <v>38</v>
      </c>
      <c r="F1682" s="14">
        <v>0.024722222222222222</v>
      </c>
      <c r="G1682" s="21"/>
    </row>
    <row r="1683">
      <c r="A1683" s="4" t="s">
        <v>1582</v>
      </c>
      <c r="B1683" s="10">
        <v>2823488.0</v>
      </c>
      <c r="C1683" s="16" t="s">
        <v>701</v>
      </c>
      <c r="D1683" s="12" t="s">
        <v>26</v>
      </c>
      <c r="E1683" s="13" t="s">
        <v>38</v>
      </c>
      <c r="F1683" s="14">
        <v>0.05265046296296296</v>
      </c>
      <c r="G1683" s="22"/>
    </row>
    <row r="1684">
      <c r="A1684" s="4" t="s">
        <v>1582</v>
      </c>
      <c r="B1684" s="10">
        <v>2823513.0</v>
      </c>
      <c r="C1684" s="11" t="s">
        <v>773</v>
      </c>
      <c r="D1684" s="12" t="s">
        <v>26</v>
      </c>
      <c r="E1684" s="13" t="s">
        <v>38</v>
      </c>
      <c r="F1684" s="14">
        <v>0.03740740740740741</v>
      </c>
      <c r="G1684" s="21"/>
    </row>
    <row r="1685">
      <c r="A1685" s="4" t="s">
        <v>1582</v>
      </c>
      <c r="B1685" s="10">
        <v>2824204.0</v>
      </c>
      <c r="C1685" s="16" t="s">
        <v>1610</v>
      </c>
      <c r="D1685" s="12" t="s">
        <v>26</v>
      </c>
      <c r="E1685" s="13" t="s">
        <v>38</v>
      </c>
      <c r="F1685" s="14">
        <v>0.06032407407407407</v>
      </c>
      <c r="G1685" s="21"/>
    </row>
    <row r="1686">
      <c r="A1686" s="4" t="s">
        <v>1582</v>
      </c>
      <c r="B1686" s="10">
        <v>2824265.0</v>
      </c>
      <c r="C1686" s="16" t="s">
        <v>1611</v>
      </c>
      <c r="D1686" s="12" t="s">
        <v>26</v>
      </c>
      <c r="E1686" s="13" t="s">
        <v>38</v>
      </c>
      <c r="F1686" s="14">
        <v>0.03826388888888889</v>
      </c>
      <c r="G1686" s="21"/>
    </row>
    <row r="1687">
      <c r="A1687" s="4" t="s">
        <v>1582</v>
      </c>
      <c r="B1687" s="10">
        <v>2824356.0</v>
      </c>
      <c r="C1687" s="16" t="s">
        <v>702</v>
      </c>
      <c r="D1687" s="12" t="s">
        <v>26</v>
      </c>
      <c r="E1687" s="13" t="s">
        <v>38</v>
      </c>
      <c r="F1687" s="14">
        <v>0.03826388888888889</v>
      </c>
      <c r="G1687" s="21"/>
    </row>
    <row r="1688">
      <c r="A1688" s="4" t="s">
        <v>1582</v>
      </c>
      <c r="B1688" s="10">
        <v>2825375.0</v>
      </c>
      <c r="C1688" s="16" t="s">
        <v>1612</v>
      </c>
      <c r="D1688" s="12" t="s">
        <v>26</v>
      </c>
      <c r="E1688" s="13" t="s">
        <v>38</v>
      </c>
      <c r="F1688" s="14">
        <v>0.02679398148148148</v>
      </c>
      <c r="G1688" s="21"/>
    </row>
    <row r="1689">
      <c r="A1689" s="4" t="s">
        <v>1582</v>
      </c>
      <c r="B1689" s="10">
        <v>2972232.0</v>
      </c>
      <c r="C1689" s="16" t="s">
        <v>1613</v>
      </c>
      <c r="D1689" s="12" t="s">
        <v>26</v>
      </c>
      <c r="E1689" s="13" t="s">
        <v>38</v>
      </c>
      <c r="F1689" s="14">
        <v>0.03568287037037037</v>
      </c>
      <c r="G1689" s="21"/>
    </row>
    <row r="1690">
      <c r="A1690" s="4" t="s">
        <v>1582</v>
      </c>
      <c r="B1690" s="10">
        <v>2974328.0</v>
      </c>
      <c r="C1690" s="16" t="s">
        <v>1614</v>
      </c>
      <c r="D1690" s="12" t="s">
        <v>26</v>
      </c>
      <c r="E1690" s="13" t="s">
        <v>38</v>
      </c>
      <c r="F1690" s="14">
        <v>0.03542824074074074</v>
      </c>
      <c r="G1690" s="21"/>
    </row>
    <row r="1691">
      <c r="A1691" s="4" t="s">
        <v>1582</v>
      </c>
      <c r="B1691" s="10">
        <v>5016707.0</v>
      </c>
      <c r="C1691" s="16" t="s">
        <v>1615</v>
      </c>
      <c r="D1691" s="12" t="s">
        <v>26</v>
      </c>
      <c r="E1691" s="13" t="s">
        <v>38</v>
      </c>
      <c r="F1691" s="14">
        <v>0.02847222222222222</v>
      </c>
      <c r="G1691" s="21"/>
    </row>
    <row r="1692">
      <c r="A1692" s="4" t="s">
        <v>1582</v>
      </c>
      <c r="B1692" s="10">
        <v>2837268.0</v>
      </c>
      <c r="C1692" s="16" t="s">
        <v>336</v>
      </c>
      <c r="D1692" s="12" t="s">
        <v>26</v>
      </c>
      <c r="E1692" s="13" t="s">
        <v>38</v>
      </c>
      <c r="F1692" s="14">
        <v>0.007592592592592593</v>
      </c>
      <c r="G1692" s="21"/>
    </row>
    <row r="1693">
      <c r="A1693" s="4" t="s">
        <v>1582</v>
      </c>
      <c r="B1693" s="10">
        <v>2848077.0</v>
      </c>
      <c r="C1693" s="16" t="s">
        <v>1616</v>
      </c>
      <c r="D1693" s="12" t="s">
        <v>26</v>
      </c>
      <c r="E1693" s="13" t="s">
        <v>38</v>
      </c>
      <c r="F1693" s="14">
        <v>0.02230324074074074</v>
      </c>
      <c r="G1693" s="21"/>
    </row>
    <row r="1694">
      <c r="A1694" s="4" t="s">
        <v>1582</v>
      </c>
      <c r="B1694" s="10">
        <v>2882089.0</v>
      </c>
      <c r="C1694" s="16" t="s">
        <v>1617</v>
      </c>
      <c r="D1694" s="12" t="s">
        <v>26</v>
      </c>
      <c r="E1694" s="13" t="s">
        <v>38</v>
      </c>
      <c r="F1694" s="14">
        <v>0.054814814814814816</v>
      </c>
      <c r="G1694" s="21"/>
    </row>
    <row r="1695">
      <c r="A1695" s="4" t="s">
        <v>1582</v>
      </c>
      <c r="B1695" s="10">
        <v>2367359.0</v>
      </c>
      <c r="C1695" s="16" t="s">
        <v>1618</v>
      </c>
      <c r="D1695" s="12" t="s">
        <v>26</v>
      </c>
      <c r="E1695" s="13" t="s">
        <v>38</v>
      </c>
      <c r="F1695" s="14">
        <v>0.01925925925925926</v>
      </c>
      <c r="G1695" s="21"/>
    </row>
    <row r="1696">
      <c r="A1696" s="4" t="s">
        <v>1582</v>
      </c>
      <c r="B1696" s="10">
        <v>2878127.0</v>
      </c>
      <c r="C1696" s="16" t="s">
        <v>1619</v>
      </c>
      <c r="D1696" s="12" t="s">
        <v>26</v>
      </c>
      <c r="E1696" s="13" t="s">
        <v>38</v>
      </c>
      <c r="F1696" s="14">
        <v>0.032997685185185185</v>
      </c>
      <c r="G1696" s="21"/>
    </row>
    <row r="1697">
      <c r="A1697" s="4" t="s">
        <v>1582</v>
      </c>
      <c r="B1697" s="10">
        <v>2874215.0</v>
      </c>
      <c r="C1697" s="16" t="s">
        <v>1620</v>
      </c>
      <c r="D1697" s="12" t="s">
        <v>26</v>
      </c>
      <c r="E1697" s="13" t="s">
        <v>38</v>
      </c>
      <c r="F1697" s="14">
        <v>0.031041666666666665</v>
      </c>
      <c r="G1697" s="21"/>
    </row>
    <row r="1698">
      <c r="A1698" s="4" t="s">
        <v>1582</v>
      </c>
      <c r="B1698" s="10">
        <v>2875261.0</v>
      </c>
      <c r="C1698" s="16" t="s">
        <v>1621</v>
      </c>
      <c r="D1698" s="12" t="s">
        <v>26</v>
      </c>
      <c r="E1698" s="13" t="s">
        <v>38</v>
      </c>
      <c r="F1698" s="14">
        <v>0.03685185185185185</v>
      </c>
      <c r="G1698" s="21"/>
    </row>
    <row r="1699">
      <c r="A1699" s="4" t="s">
        <v>1582</v>
      </c>
      <c r="B1699" s="10">
        <v>2875262.0</v>
      </c>
      <c r="C1699" s="16" t="s">
        <v>1622</v>
      </c>
      <c r="D1699" s="12" t="s">
        <v>26</v>
      </c>
      <c r="E1699" s="13" t="s">
        <v>38</v>
      </c>
      <c r="F1699" s="14">
        <v>0.025092592592592593</v>
      </c>
      <c r="G1699" s="21"/>
    </row>
    <row r="1700">
      <c r="A1700" s="4" t="s">
        <v>1582</v>
      </c>
      <c r="B1700" s="10">
        <v>2875381.0</v>
      </c>
      <c r="C1700" s="16" t="s">
        <v>1623</v>
      </c>
      <c r="D1700" s="12" t="s">
        <v>26</v>
      </c>
      <c r="E1700" s="13" t="s">
        <v>38</v>
      </c>
      <c r="F1700" s="14">
        <v>0.011377314814814814</v>
      </c>
      <c r="G1700" s="21"/>
    </row>
    <row r="1701">
      <c r="A1701" s="4" t="s">
        <v>1582</v>
      </c>
      <c r="B1701" s="10">
        <v>2875382.0</v>
      </c>
      <c r="C1701" s="16" t="s">
        <v>1624</v>
      </c>
      <c r="D1701" s="12" t="s">
        <v>26</v>
      </c>
      <c r="E1701" s="13" t="s">
        <v>38</v>
      </c>
      <c r="F1701" s="14">
        <v>0.019965277777777776</v>
      </c>
      <c r="G1701" s="21"/>
    </row>
    <row r="1702">
      <c r="A1702" s="4" t="s">
        <v>1582</v>
      </c>
      <c r="B1702" s="10">
        <v>2876325.0</v>
      </c>
      <c r="C1702" s="16" t="s">
        <v>1625</v>
      </c>
      <c r="D1702" s="12" t="s">
        <v>26</v>
      </c>
      <c r="E1702" s="13" t="s">
        <v>38</v>
      </c>
      <c r="F1702" s="14">
        <v>0.01980324074074074</v>
      </c>
      <c r="G1702" s="21"/>
    </row>
    <row r="1703">
      <c r="A1703" s="4" t="s">
        <v>1582</v>
      </c>
      <c r="B1703" s="10">
        <v>2876326.0</v>
      </c>
      <c r="C1703" s="16" t="s">
        <v>1626</v>
      </c>
      <c r="D1703" s="12" t="s">
        <v>26</v>
      </c>
      <c r="E1703" s="13" t="s">
        <v>38</v>
      </c>
      <c r="F1703" s="14">
        <v>0.012835648148148148</v>
      </c>
      <c r="G1703" s="21"/>
    </row>
    <row r="1704">
      <c r="A1704" s="4" t="s">
        <v>1582</v>
      </c>
      <c r="B1704" s="10">
        <v>2877360.0</v>
      </c>
      <c r="C1704" s="16" t="s">
        <v>1627</v>
      </c>
      <c r="D1704" s="12" t="s">
        <v>26</v>
      </c>
      <c r="E1704" s="13" t="s">
        <v>38</v>
      </c>
      <c r="F1704" s="14">
        <v>0.007337962962962963</v>
      </c>
      <c r="G1704" s="21"/>
    </row>
    <row r="1705">
      <c r="A1705" s="4" t="s">
        <v>1582</v>
      </c>
      <c r="B1705" s="10">
        <v>2874216.0</v>
      </c>
      <c r="C1705" s="16" t="s">
        <v>1376</v>
      </c>
      <c r="D1705" s="12" t="s">
        <v>26</v>
      </c>
      <c r="E1705" s="13" t="s">
        <v>38</v>
      </c>
      <c r="F1705" s="14">
        <v>0.02375</v>
      </c>
      <c r="G1705" s="21"/>
    </row>
    <row r="1706">
      <c r="A1706" s="4" t="s">
        <v>1582</v>
      </c>
      <c r="B1706" s="10">
        <v>2885014.0</v>
      </c>
      <c r="C1706" s="16" t="s">
        <v>138</v>
      </c>
      <c r="D1706" s="12" t="s">
        <v>26</v>
      </c>
      <c r="E1706" s="13" t="s">
        <v>38</v>
      </c>
      <c r="F1706" s="14">
        <v>0.033900462962962966</v>
      </c>
      <c r="G1706" s="21"/>
    </row>
    <row r="1707">
      <c r="A1707" s="4" t="s">
        <v>1582</v>
      </c>
      <c r="B1707" s="10">
        <v>2878239.0</v>
      </c>
      <c r="C1707" s="16" t="s">
        <v>1628</v>
      </c>
      <c r="D1707" s="12" t="s">
        <v>26</v>
      </c>
      <c r="E1707" s="13" t="s">
        <v>38</v>
      </c>
      <c r="F1707" s="14">
        <v>0.038356481481481484</v>
      </c>
      <c r="G1707" s="21"/>
    </row>
    <row r="1708">
      <c r="A1708" s="4" t="s">
        <v>1582</v>
      </c>
      <c r="B1708" s="10">
        <v>2880193.0</v>
      </c>
      <c r="C1708" s="16" t="s">
        <v>1629</v>
      </c>
      <c r="D1708" s="12" t="s">
        <v>26</v>
      </c>
      <c r="E1708" s="13" t="s">
        <v>38</v>
      </c>
      <c r="F1708" s="14">
        <v>0.10962962962962963</v>
      </c>
      <c r="G1708" s="21"/>
    </row>
    <row r="1709">
      <c r="A1709" s="4" t="s">
        <v>1582</v>
      </c>
      <c r="B1709" s="10">
        <v>2886192.0</v>
      </c>
      <c r="C1709" s="16" t="s">
        <v>1630</v>
      </c>
      <c r="D1709" s="12" t="s">
        <v>26</v>
      </c>
      <c r="E1709" s="13" t="s">
        <v>38</v>
      </c>
      <c r="F1709" s="14">
        <v>0.03040509259259259</v>
      </c>
      <c r="G1709" s="21"/>
    </row>
    <row r="1710">
      <c r="A1710" s="4" t="s">
        <v>1582</v>
      </c>
      <c r="B1710" s="10">
        <v>2883252.0</v>
      </c>
      <c r="C1710" s="16" t="s">
        <v>1631</v>
      </c>
      <c r="D1710" s="12" t="s">
        <v>26</v>
      </c>
      <c r="E1710" s="13" t="s">
        <v>38</v>
      </c>
      <c r="F1710" s="14">
        <v>0.011782407407407408</v>
      </c>
      <c r="G1710" s="21"/>
    </row>
    <row r="1711">
      <c r="A1711" s="4" t="s">
        <v>1582</v>
      </c>
      <c r="B1711" s="10">
        <v>2883253.0</v>
      </c>
      <c r="C1711" s="16" t="s">
        <v>1632</v>
      </c>
      <c r="D1711" s="12" t="s">
        <v>26</v>
      </c>
      <c r="E1711" s="13" t="s">
        <v>38</v>
      </c>
      <c r="F1711" s="14">
        <v>0.023344907407407408</v>
      </c>
      <c r="G1711" s="21"/>
    </row>
    <row r="1712">
      <c r="A1712" s="4" t="s">
        <v>1582</v>
      </c>
      <c r="B1712" s="10">
        <v>2886306.0</v>
      </c>
      <c r="C1712" s="16" t="s">
        <v>1633</v>
      </c>
      <c r="D1712" s="12" t="s">
        <v>26</v>
      </c>
      <c r="E1712" s="13" t="s">
        <v>38</v>
      </c>
      <c r="F1712" s="14">
        <v>0.019814814814814816</v>
      </c>
      <c r="G1712" s="21"/>
    </row>
    <row r="1713">
      <c r="A1713" s="4" t="s">
        <v>1582</v>
      </c>
      <c r="B1713" s="10">
        <v>2887333.0</v>
      </c>
      <c r="C1713" s="16" t="s">
        <v>1634</v>
      </c>
      <c r="D1713" s="12" t="s">
        <v>26</v>
      </c>
      <c r="E1713" s="13" t="s">
        <v>38</v>
      </c>
      <c r="F1713" s="14">
        <v>0.018414351851851852</v>
      </c>
      <c r="G1713" s="21"/>
    </row>
    <row r="1714">
      <c r="A1714" s="4" t="s">
        <v>1582</v>
      </c>
      <c r="B1714" s="10">
        <v>2887334.0</v>
      </c>
      <c r="C1714" s="16" t="s">
        <v>1635</v>
      </c>
      <c r="D1714" s="12" t="s">
        <v>26</v>
      </c>
      <c r="E1714" s="13" t="s">
        <v>38</v>
      </c>
      <c r="F1714" s="14">
        <v>0.019675925925925927</v>
      </c>
      <c r="G1714" s="21"/>
    </row>
    <row r="1715">
      <c r="A1715" s="4" t="s">
        <v>1582</v>
      </c>
      <c r="B1715" s="10">
        <v>2890117.0</v>
      </c>
      <c r="C1715" s="16" t="s">
        <v>1636</v>
      </c>
      <c r="D1715" s="12" t="s">
        <v>26</v>
      </c>
      <c r="E1715" s="13" t="s">
        <v>38</v>
      </c>
      <c r="F1715" s="14">
        <v>0.032164351851851854</v>
      </c>
      <c r="G1715" s="21"/>
    </row>
    <row r="1716">
      <c r="A1716" s="4" t="s">
        <v>1582</v>
      </c>
      <c r="B1716" s="10">
        <v>2421703.0</v>
      </c>
      <c r="C1716" s="16" t="s">
        <v>1637</v>
      </c>
      <c r="D1716" s="12" t="s">
        <v>26</v>
      </c>
      <c r="E1716" s="13" t="s">
        <v>38</v>
      </c>
      <c r="F1716" s="14">
        <v>0.007453703703703704</v>
      </c>
      <c r="G1716" s="21"/>
    </row>
    <row r="1717">
      <c r="A1717" s="4" t="s">
        <v>1582</v>
      </c>
      <c r="B1717" s="10">
        <v>3157766.0</v>
      </c>
      <c r="C1717" s="16" t="s">
        <v>705</v>
      </c>
      <c r="D1717" s="12" t="s">
        <v>26</v>
      </c>
      <c r="E1717" s="13" t="s">
        <v>38</v>
      </c>
      <c r="F1717" s="14">
        <v>0.025138888888888888</v>
      </c>
      <c r="G1717" s="21"/>
    </row>
    <row r="1718">
      <c r="A1718" s="4" t="s">
        <v>1582</v>
      </c>
      <c r="B1718" s="10">
        <v>2896814.0</v>
      </c>
      <c r="C1718" s="16" t="s">
        <v>1638</v>
      </c>
      <c r="D1718" s="12" t="s">
        <v>26</v>
      </c>
      <c r="E1718" s="13" t="s">
        <v>38</v>
      </c>
      <c r="F1718" s="14">
        <v>0.02914351851851852</v>
      </c>
      <c r="G1718" s="21"/>
    </row>
    <row r="1719">
      <c r="A1719" s="4" t="s">
        <v>1582</v>
      </c>
      <c r="B1719" s="10">
        <v>3002670.0</v>
      </c>
      <c r="C1719" s="16" t="s">
        <v>1639</v>
      </c>
      <c r="D1719" s="12" t="s">
        <v>26</v>
      </c>
      <c r="E1719" s="13" t="s">
        <v>38</v>
      </c>
      <c r="F1719" s="14">
        <v>0.020775462962962964</v>
      </c>
      <c r="G1719" s="21"/>
    </row>
    <row r="1720">
      <c r="A1720" s="4" t="s">
        <v>1582</v>
      </c>
      <c r="B1720" s="10">
        <v>2863038.0</v>
      </c>
      <c r="C1720" s="16" t="s">
        <v>1640</v>
      </c>
      <c r="D1720" s="12" t="s">
        <v>26</v>
      </c>
      <c r="E1720" s="13" t="s">
        <v>19</v>
      </c>
      <c r="F1720" s="14">
        <v>0.027939814814814813</v>
      </c>
      <c r="G1720" s="21"/>
    </row>
    <row r="1721">
      <c r="A1721" s="4" t="s">
        <v>1582</v>
      </c>
      <c r="B1721" s="10">
        <v>193711.0</v>
      </c>
      <c r="C1721" s="16" t="s">
        <v>1641</v>
      </c>
      <c r="D1721" s="12" t="s">
        <v>26</v>
      </c>
      <c r="E1721" s="13" t="s">
        <v>15</v>
      </c>
      <c r="F1721" s="14">
        <v>0.03954861111111111</v>
      </c>
      <c r="G1721" s="21"/>
    </row>
    <row r="1722">
      <c r="A1722" s="4" t="s">
        <v>1582</v>
      </c>
      <c r="B1722" s="10">
        <v>415358.0</v>
      </c>
      <c r="C1722" s="16" t="s">
        <v>1642</v>
      </c>
      <c r="D1722" s="12" t="s">
        <v>26</v>
      </c>
      <c r="E1722" s="13" t="s">
        <v>15</v>
      </c>
      <c r="F1722" s="14">
        <v>0.02383101851851852</v>
      </c>
      <c r="G1722" s="21"/>
    </row>
    <row r="1723">
      <c r="A1723" s="4" t="s">
        <v>1582</v>
      </c>
      <c r="B1723" s="10">
        <v>415362.0</v>
      </c>
      <c r="C1723" s="16" t="s">
        <v>1473</v>
      </c>
      <c r="D1723" s="12" t="s">
        <v>26</v>
      </c>
      <c r="E1723" s="13" t="s">
        <v>15</v>
      </c>
      <c r="F1723" s="14">
        <v>0.022349537037037036</v>
      </c>
      <c r="G1723" s="21"/>
    </row>
    <row r="1724">
      <c r="A1724" s="4" t="s">
        <v>1582</v>
      </c>
      <c r="B1724" s="10">
        <v>460440.0</v>
      </c>
      <c r="C1724" s="16" t="s">
        <v>1643</v>
      </c>
      <c r="D1724" s="12" t="s">
        <v>26</v>
      </c>
      <c r="E1724" s="13" t="s">
        <v>15</v>
      </c>
      <c r="F1724" s="14">
        <v>0.021493055555555557</v>
      </c>
      <c r="G1724" s="21"/>
    </row>
    <row r="1725">
      <c r="A1725" s="4" t="s">
        <v>1582</v>
      </c>
      <c r="B1725" s="10">
        <v>461911.0</v>
      </c>
      <c r="C1725" s="16" t="s">
        <v>1644</v>
      </c>
      <c r="D1725" s="12" t="s">
        <v>26</v>
      </c>
      <c r="E1725" s="13" t="s">
        <v>15</v>
      </c>
      <c r="F1725" s="14">
        <v>0.04068287037037037</v>
      </c>
      <c r="G1725" s="21"/>
    </row>
    <row r="1726">
      <c r="A1726" s="4" t="s">
        <v>1582</v>
      </c>
      <c r="B1726" s="10">
        <v>504664.0</v>
      </c>
      <c r="C1726" s="16" t="s">
        <v>1645</v>
      </c>
      <c r="D1726" s="12" t="s">
        <v>26</v>
      </c>
      <c r="E1726" s="13" t="s">
        <v>15</v>
      </c>
      <c r="F1726" s="14">
        <v>0.041539351851851855</v>
      </c>
      <c r="G1726" s="21"/>
    </row>
    <row r="1727">
      <c r="A1727" s="4" t="s">
        <v>1582</v>
      </c>
      <c r="B1727" s="10">
        <v>548713.0</v>
      </c>
      <c r="C1727" s="16" t="s">
        <v>1646</v>
      </c>
      <c r="D1727" s="12" t="s">
        <v>26</v>
      </c>
      <c r="E1727" s="13" t="s">
        <v>15</v>
      </c>
      <c r="F1727" s="14">
        <v>0.031377314814814816</v>
      </c>
      <c r="G1727" s="21"/>
    </row>
    <row r="1728">
      <c r="A1728" s="4" t="s">
        <v>1582</v>
      </c>
      <c r="B1728" s="10">
        <v>602886.0</v>
      </c>
      <c r="C1728" s="16" t="s">
        <v>1647</v>
      </c>
      <c r="D1728" s="12" t="s">
        <v>26</v>
      </c>
      <c r="E1728" s="13" t="s">
        <v>15</v>
      </c>
      <c r="F1728" s="14">
        <v>0.04913194444444444</v>
      </c>
      <c r="G1728" s="21"/>
    </row>
    <row r="1729">
      <c r="A1729" s="4" t="s">
        <v>1582</v>
      </c>
      <c r="B1729" s="10">
        <v>602887.0</v>
      </c>
      <c r="C1729" s="16" t="s">
        <v>1648</v>
      </c>
      <c r="D1729" s="12" t="s">
        <v>26</v>
      </c>
      <c r="E1729" s="13" t="s">
        <v>15</v>
      </c>
      <c r="F1729" s="14">
        <v>0.04065972222222222</v>
      </c>
      <c r="G1729" s="21"/>
    </row>
    <row r="1730">
      <c r="A1730" s="4" t="s">
        <v>1582</v>
      </c>
      <c r="B1730" s="10">
        <v>633847.0</v>
      </c>
      <c r="C1730" s="16" t="s">
        <v>1649</v>
      </c>
      <c r="D1730" s="12" t="s">
        <v>26</v>
      </c>
      <c r="E1730" s="13" t="s">
        <v>15</v>
      </c>
      <c r="F1730" s="14">
        <v>0.04873842592592593</v>
      </c>
      <c r="G1730" s="21"/>
    </row>
    <row r="1731">
      <c r="A1731" s="4" t="s">
        <v>1582</v>
      </c>
      <c r="B1731" s="10">
        <v>667359.0</v>
      </c>
      <c r="C1731" s="16" t="s">
        <v>1650</v>
      </c>
      <c r="D1731" s="12" t="s">
        <v>26</v>
      </c>
      <c r="E1731" s="13" t="s">
        <v>15</v>
      </c>
      <c r="F1731" s="14">
        <v>0.021493055555555557</v>
      </c>
      <c r="G1731" s="21"/>
    </row>
    <row r="1732">
      <c r="A1732" s="4" t="s">
        <v>1582</v>
      </c>
      <c r="B1732" s="10">
        <v>758619.0</v>
      </c>
      <c r="C1732" s="16" t="s">
        <v>1651</v>
      </c>
      <c r="D1732" s="12" t="s">
        <v>26</v>
      </c>
      <c r="E1732" s="13" t="s">
        <v>15</v>
      </c>
      <c r="F1732" s="14">
        <v>0.030555555555555555</v>
      </c>
      <c r="G1732" s="21"/>
    </row>
    <row r="1733">
      <c r="A1733" s="4" t="s">
        <v>1582</v>
      </c>
      <c r="B1733" s="10">
        <v>769275.0</v>
      </c>
      <c r="C1733" s="16" t="s">
        <v>1652</v>
      </c>
      <c r="D1733" s="12" t="s">
        <v>26</v>
      </c>
      <c r="E1733" s="13" t="s">
        <v>15</v>
      </c>
      <c r="F1733" s="14">
        <v>0.04230324074074074</v>
      </c>
      <c r="G1733" s="21"/>
    </row>
    <row r="1734">
      <c r="A1734" s="4" t="s">
        <v>1582</v>
      </c>
      <c r="B1734" s="10">
        <v>772320.0</v>
      </c>
      <c r="C1734" s="16" t="s">
        <v>1653</v>
      </c>
      <c r="D1734" s="12" t="s">
        <v>26</v>
      </c>
      <c r="E1734" s="13" t="s">
        <v>15</v>
      </c>
      <c r="F1734" s="14">
        <v>0.027962962962962964</v>
      </c>
      <c r="G1734" s="21"/>
    </row>
    <row r="1735">
      <c r="A1735" s="4" t="s">
        <v>1582</v>
      </c>
      <c r="B1735" s="10">
        <v>2226728.0</v>
      </c>
      <c r="C1735" s="16" t="s">
        <v>566</v>
      </c>
      <c r="D1735" s="12" t="s">
        <v>26</v>
      </c>
      <c r="E1735" s="13" t="s">
        <v>15</v>
      </c>
      <c r="F1735" s="14">
        <v>0.02494212962962963</v>
      </c>
      <c r="G1735" s="21"/>
    </row>
    <row r="1736">
      <c r="A1736" s="4" t="s">
        <v>1582</v>
      </c>
      <c r="B1736" s="10">
        <v>2814164.0</v>
      </c>
      <c r="C1736" s="16" t="s">
        <v>1654</v>
      </c>
      <c r="D1736" s="12" t="s">
        <v>26</v>
      </c>
      <c r="E1736" s="13" t="s">
        <v>15</v>
      </c>
      <c r="F1736" s="14">
        <v>0.018657407407407407</v>
      </c>
      <c r="G1736" s="21"/>
    </row>
    <row r="1737">
      <c r="A1737" s="4" t="s">
        <v>1582</v>
      </c>
      <c r="B1737" s="10">
        <v>2822055.0</v>
      </c>
      <c r="C1737" s="16" t="s">
        <v>1655</v>
      </c>
      <c r="D1737" s="12" t="s">
        <v>26</v>
      </c>
      <c r="E1737" s="13" t="s">
        <v>15</v>
      </c>
      <c r="F1737" s="14">
        <v>0.03333333333333333</v>
      </c>
      <c r="G1737" s="21"/>
    </row>
    <row r="1738">
      <c r="A1738" s="4" t="s">
        <v>1582</v>
      </c>
      <c r="B1738" s="10">
        <v>5035799.0</v>
      </c>
      <c r="C1738" s="16" t="s">
        <v>1656</v>
      </c>
      <c r="D1738" s="12" t="s">
        <v>26</v>
      </c>
      <c r="E1738" s="13" t="s">
        <v>15</v>
      </c>
      <c r="F1738" s="14">
        <v>0.03497685185185185</v>
      </c>
      <c r="G1738" s="21"/>
    </row>
    <row r="1739">
      <c r="A1739" s="4" t="s">
        <v>1582</v>
      </c>
      <c r="B1739" s="10">
        <v>2846052.0</v>
      </c>
      <c r="C1739" s="16" t="s">
        <v>1657</v>
      </c>
      <c r="D1739" s="12" t="s">
        <v>26</v>
      </c>
      <c r="E1739" s="13" t="s">
        <v>15</v>
      </c>
      <c r="F1739" s="14">
        <v>0.024918981481481483</v>
      </c>
      <c r="G1739" s="21"/>
    </row>
    <row r="1740">
      <c r="A1740" s="4" t="s">
        <v>1582</v>
      </c>
      <c r="B1740" s="10">
        <v>2834042.0</v>
      </c>
      <c r="C1740" s="16" t="s">
        <v>572</v>
      </c>
      <c r="D1740" s="12" t="s">
        <v>26</v>
      </c>
      <c r="E1740" s="13" t="s">
        <v>15</v>
      </c>
      <c r="F1740" s="14">
        <v>0.03305555555555555</v>
      </c>
      <c r="G1740" s="21"/>
    </row>
    <row r="1741">
      <c r="A1741" s="4" t="s">
        <v>1582</v>
      </c>
      <c r="B1741" s="10">
        <v>2888117.0</v>
      </c>
      <c r="C1741" s="16" t="s">
        <v>1658</v>
      </c>
      <c r="D1741" s="12" t="s">
        <v>26</v>
      </c>
      <c r="E1741" s="13" t="s">
        <v>15</v>
      </c>
      <c r="F1741" s="14">
        <v>0.051145833333333335</v>
      </c>
      <c r="G1741" s="21"/>
    </row>
    <row r="1742">
      <c r="A1742" s="4" t="s">
        <v>1582</v>
      </c>
      <c r="B1742" s="10">
        <v>2282148.0</v>
      </c>
      <c r="C1742" s="16" t="s">
        <v>1659</v>
      </c>
      <c r="D1742" s="12" t="s">
        <v>26</v>
      </c>
      <c r="E1742" s="13" t="s">
        <v>15</v>
      </c>
      <c r="F1742" s="14">
        <v>0.025798611111111112</v>
      </c>
      <c r="G1742" s="21"/>
    </row>
    <row r="1743">
      <c r="A1743" s="4" t="s">
        <v>1582</v>
      </c>
      <c r="B1743" s="10">
        <v>2825697.0</v>
      </c>
      <c r="C1743" s="16" t="s">
        <v>1660</v>
      </c>
      <c r="D1743" s="12" t="s">
        <v>26</v>
      </c>
      <c r="E1743" s="13" t="s">
        <v>15</v>
      </c>
      <c r="F1743" s="14">
        <v>0.037488425925925925</v>
      </c>
      <c r="G1743" s="21"/>
    </row>
    <row r="1744">
      <c r="A1744" s="4" t="s">
        <v>1582</v>
      </c>
      <c r="B1744" s="10">
        <v>3007909.0</v>
      </c>
      <c r="C1744" s="16" t="s">
        <v>1661</v>
      </c>
      <c r="D1744" s="12" t="s">
        <v>26</v>
      </c>
      <c r="E1744" s="13" t="s">
        <v>15</v>
      </c>
      <c r="F1744" s="14">
        <v>0.027488425925925927</v>
      </c>
      <c r="G1744" s="21"/>
    </row>
    <row r="1745">
      <c r="A1745" s="4" t="s">
        <v>1582</v>
      </c>
      <c r="B1745" s="10">
        <v>3009887.0</v>
      </c>
      <c r="C1745" s="16" t="s">
        <v>1662</v>
      </c>
      <c r="D1745" s="12" t="s">
        <v>26</v>
      </c>
      <c r="E1745" s="13" t="s">
        <v>15</v>
      </c>
      <c r="F1745" s="14">
        <v>0.02693287037037037</v>
      </c>
      <c r="G1745" s="21"/>
    </row>
    <row r="1746">
      <c r="A1746" s="4" t="s">
        <v>1582</v>
      </c>
      <c r="B1746" s="10">
        <v>3014069.0</v>
      </c>
      <c r="C1746" s="16" t="s">
        <v>1663</v>
      </c>
      <c r="D1746" s="12" t="s">
        <v>26</v>
      </c>
      <c r="E1746" s="13" t="s">
        <v>15</v>
      </c>
      <c r="F1746" s="14">
        <v>0.023946759259259258</v>
      </c>
      <c r="G1746" s="21"/>
    </row>
    <row r="1747">
      <c r="A1747" s="4" t="s">
        <v>1582</v>
      </c>
      <c r="B1747" s="10">
        <v>777346.0</v>
      </c>
      <c r="C1747" s="16" t="s">
        <v>1664</v>
      </c>
      <c r="D1747" s="12" t="s">
        <v>26</v>
      </c>
      <c r="E1747" s="13" t="s">
        <v>109</v>
      </c>
      <c r="F1747" s="14">
        <v>0.0340162037037037</v>
      </c>
      <c r="G1747" s="21"/>
    </row>
    <row r="1748">
      <c r="A1748" s="4" t="s">
        <v>1582</v>
      </c>
      <c r="B1748" s="10">
        <v>797727.0</v>
      </c>
      <c r="C1748" s="16" t="s">
        <v>1665</v>
      </c>
      <c r="D1748" s="12" t="s">
        <v>26</v>
      </c>
      <c r="E1748" s="13" t="s">
        <v>109</v>
      </c>
      <c r="F1748" s="14">
        <v>0.02679398148148148</v>
      </c>
      <c r="G1748" s="21"/>
    </row>
    <row r="1749">
      <c r="A1749" s="4" t="s">
        <v>1582</v>
      </c>
      <c r="B1749" s="10">
        <v>2811346.0</v>
      </c>
      <c r="C1749" s="16" t="s">
        <v>1666</v>
      </c>
      <c r="D1749" s="12" t="s">
        <v>26</v>
      </c>
      <c r="E1749" s="13" t="s">
        <v>109</v>
      </c>
      <c r="F1749" s="14">
        <v>0.03037037037037037</v>
      </c>
      <c r="G1749" s="21"/>
    </row>
    <row r="1750">
      <c r="A1750" s="4" t="s">
        <v>1582</v>
      </c>
      <c r="B1750" s="10">
        <v>5016699.0</v>
      </c>
      <c r="C1750" s="16" t="s">
        <v>1667</v>
      </c>
      <c r="D1750" s="12" t="s">
        <v>26</v>
      </c>
      <c r="E1750" s="13" t="s">
        <v>109</v>
      </c>
      <c r="F1750" s="14">
        <v>0.0444212962962963</v>
      </c>
      <c r="G1750" s="21"/>
    </row>
    <row r="1751">
      <c r="A1751" s="4" t="s">
        <v>1582</v>
      </c>
      <c r="B1751" s="10">
        <v>2854002.0</v>
      </c>
      <c r="C1751" s="16" t="s">
        <v>1668</v>
      </c>
      <c r="D1751" s="12" t="s">
        <v>26</v>
      </c>
      <c r="E1751" s="13" t="s">
        <v>109</v>
      </c>
      <c r="F1751" s="14">
        <v>0.02724537037037037</v>
      </c>
      <c r="G1751" s="21"/>
    </row>
    <row r="1752">
      <c r="A1752" s="4" t="s">
        <v>1582</v>
      </c>
      <c r="B1752" s="10">
        <v>148625.0</v>
      </c>
      <c r="C1752" s="16" t="s">
        <v>394</v>
      </c>
      <c r="D1752" s="12" t="s">
        <v>26</v>
      </c>
      <c r="E1752" s="13" t="s">
        <v>26</v>
      </c>
      <c r="F1752" s="14">
        <v>0.02903935185185185</v>
      </c>
      <c r="G1752" s="21"/>
    </row>
    <row r="1753">
      <c r="A1753" s="4" t="s">
        <v>1582</v>
      </c>
      <c r="B1753" s="10">
        <v>2800332.0</v>
      </c>
      <c r="C1753" s="16" t="s">
        <v>888</v>
      </c>
      <c r="D1753" s="12" t="s">
        <v>26</v>
      </c>
      <c r="E1753" s="13" t="s">
        <v>26</v>
      </c>
      <c r="F1753" s="14">
        <v>0.03540509259259259</v>
      </c>
      <c r="G1753" s="21"/>
    </row>
    <row r="1754">
      <c r="A1754" s="4" t="s">
        <v>1582</v>
      </c>
      <c r="B1754" s="10">
        <v>2822652.0</v>
      </c>
      <c r="C1754" s="16" t="s">
        <v>716</v>
      </c>
      <c r="D1754" s="12" t="s">
        <v>26</v>
      </c>
      <c r="E1754" s="13" t="s">
        <v>26</v>
      </c>
      <c r="F1754" s="14">
        <v>0.028148148148148148</v>
      </c>
      <c r="G1754" s="21"/>
    </row>
    <row r="1755">
      <c r="A1755" s="4" t="s">
        <v>1582</v>
      </c>
      <c r="B1755" s="10">
        <v>2837265.0</v>
      </c>
      <c r="C1755" s="16" t="s">
        <v>1383</v>
      </c>
      <c r="D1755" s="12" t="s">
        <v>26</v>
      </c>
      <c r="E1755" s="13" t="s">
        <v>26</v>
      </c>
      <c r="F1755" s="14">
        <v>0.013321759259259259</v>
      </c>
      <c r="G1755" s="21"/>
    </row>
    <row r="1756">
      <c r="A1756" s="4" t="s">
        <v>1582</v>
      </c>
      <c r="B1756" s="10">
        <v>2839081.0</v>
      </c>
      <c r="C1756" s="16" t="s">
        <v>1669</v>
      </c>
      <c r="D1756" s="12" t="s">
        <v>26</v>
      </c>
      <c r="E1756" s="13" t="s">
        <v>26</v>
      </c>
      <c r="F1756" s="14">
        <v>0.013078703703703703</v>
      </c>
      <c r="G1756" s="21"/>
    </row>
    <row r="1757">
      <c r="A1757" s="4" t="s">
        <v>1582</v>
      </c>
      <c r="B1757" s="10">
        <v>3114007.0</v>
      </c>
      <c r="C1757" s="16" t="s">
        <v>1670</v>
      </c>
      <c r="D1757" s="12" t="s">
        <v>26</v>
      </c>
      <c r="E1757" s="13" t="s">
        <v>26</v>
      </c>
      <c r="F1757" s="14">
        <v>0.028703703703703703</v>
      </c>
      <c r="G1757" s="21"/>
    </row>
    <row r="1758">
      <c r="A1758" s="4" t="s">
        <v>1671</v>
      </c>
      <c r="B1758" s="5" t="s">
        <v>8</v>
      </c>
      <c r="C1758" s="6" t="s">
        <v>9</v>
      </c>
      <c r="D1758" s="7" t="s">
        <v>3</v>
      </c>
      <c r="E1758" s="7" t="s">
        <v>10</v>
      </c>
      <c r="F1758" s="8" t="s">
        <v>11</v>
      </c>
      <c r="G1758" s="9" t="s">
        <v>12</v>
      </c>
    </row>
    <row r="1759">
      <c r="A1759" s="4" t="s">
        <v>1671</v>
      </c>
      <c r="B1759" s="10">
        <v>689761.0</v>
      </c>
      <c r="C1759" s="16" t="s">
        <v>108</v>
      </c>
      <c r="D1759" s="12" t="s">
        <v>14</v>
      </c>
      <c r="E1759" s="13" t="s">
        <v>109</v>
      </c>
      <c r="F1759" s="14">
        <v>0.03929398148148148</v>
      </c>
      <c r="G1759" s="15" t="s">
        <v>1672</v>
      </c>
    </row>
    <row r="1760">
      <c r="A1760" s="23" t="s">
        <v>1671</v>
      </c>
      <c r="B1760" s="24">
        <v>592487.0</v>
      </c>
      <c r="C1760" s="25" t="s">
        <v>1673</v>
      </c>
      <c r="D1760" s="26" t="s">
        <v>14</v>
      </c>
      <c r="E1760" s="27" t="s">
        <v>109</v>
      </c>
      <c r="F1760" s="28">
        <v>0.033125</v>
      </c>
      <c r="G1760" s="17" t="s">
        <v>738</v>
      </c>
    </row>
    <row r="1761">
      <c r="A1761" s="4" t="s">
        <v>1671</v>
      </c>
      <c r="B1761" s="10">
        <v>373562.0</v>
      </c>
      <c r="C1761" s="16" t="s">
        <v>1674</v>
      </c>
      <c r="D1761" s="12" t="s">
        <v>14</v>
      </c>
      <c r="E1761" s="13" t="s">
        <v>109</v>
      </c>
      <c r="F1761" s="14">
        <v>0.04857638888888889</v>
      </c>
      <c r="G1761" s="15" t="s">
        <v>1385</v>
      </c>
    </row>
    <row r="1762">
      <c r="A1762" s="4" t="s">
        <v>1671</v>
      </c>
      <c r="B1762" s="10">
        <v>2817142.0</v>
      </c>
      <c r="C1762" s="16" t="s">
        <v>1675</v>
      </c>
      <c r="D1762" s="12" t="s">
        <v>14</v>
      </c>
      <c r="E1762" s="13" t="s">
        <v>109</v>
      </c>
      <c r="F1762" s="14">
        <v>0.047824074074074074</v>
      </c>
      <c r="G1762" s="15" t="s">
        <v>1676</v>
      </c>
    </row>
    <row r="1763">
      <c r="A1763" s="4" t="s">
        <v>1671</v>
      </c>
      <c r="B1763" s="10">
        <v>418270.0</v>
      </c>
      <c r="C1763" s="16" t="s">
        <v>1090</v>
      </c>
      <c r="D1763" s="12" t="s">
        <v>14</v>
      </c>
      <c r="E1763" s="13" t="s">
        <v>109</v>
      </c>
      <c r="F1763" s="14">
        <v>0.03184027777777778</v>
      </c>
      <c r="G1763" s="15" t="s">
        <v>895</v>
      </c>
    </row>
    <row r="1764">
      <c r="A1764" s="23" t="s">
        <v>1671</v>
      </c>
      <c r="B1764" s="24">
        <v>598478.0</v>
      </c>
      <c r="C1764" s="25" t="s">
        <v>1088</v>
      </c>
      <c r="D1764" s="26" t="s">
        <v>14</v>
      </c>
      <c r="E1764" s="27" t="s">
        <v>109</v>
      </c>
      <c r="F1764" s="28">
        <v>0.027939814814814813</v>
      </c>
      <c r="G1764" s="17" t="s">
        <v>429</v>
      </c>
    </row>
    <row r="1765">
      <c r="A1765" s="4" t="s">
        <v>1671</v>
      </c>
      <c r="B1765" s="10">
        <v>667354.0</v>
      </c>
      <c r="C1765" s="16" t="s">
        <v>1391</v>
      </c>
      <c r="D1765" s="12" t="s">
        <v>14</v>
      </c>
      <c r="E1765" s="13" t="s">
        <v>109</v>
      </c>
      <c r="F1765" s="14">
        <v>0.032962962962962965</v>
      </c>
      <c r="G1765" s="18" t="s">
        <v>752</v>
      </c>
    </row>
    <row r="1766">
      <c r="A1766" s="4" t="s">
        <v>1671</v>
      </c>
      <c r="B1766" s="10">
        <v>772319.0</v>
      </c>
      <c r="C1766" s="16" t="s">
        <v>1092</v>
      </c>
      <c r="D1766" s="12" t="s">
        <v>14</v>
      </c>
      <c r="E1766" s="13" t="s">
        <v>109</v>
      </c>
      <c r="F1766" s="14">
        <v>0.027523148148148147</v>
      </c>
      <c r="G1766" s="15" t="s">
        <v>1677</v>
      </c>
    </row>
    <row r="1767">
      <c r="A1767" s="4" t="s">
        <v>1671</v>
      </c>
      <c r="B1767" s="10">
        <v>2895588.0</v>
      </c>
      <c r="C1767" s="16" t="s">
        <v>734</v>
      </c>
      <c r="D1767" s="12" t="s">
        <v>14</v>
      </c>
      <c r="E1767" s="13" t="s">
        <v>109</v>
      </c>
      <c r="F1767" s="14">
        <v>0.03152777777777778</v>
      </c>
      <c r="G1767" s="15" t="s">
        <v>1230</v>
      </c>
    </row>
    <row r="1768">
      <c r="A1768" s="4" t="s">
        <v>1671</v>
      </c>
      <c r="B1768" s="10">
        <v>2846000.0</v>
      </c>
      <c r="C1768" s="16" t="s">
        <v>1274</v>
      </c>
      <c r="D1768" s="12" t="s">
        <v>14</v>
      </c>
      <c r="E1768" s="13" t="s">
        <v>38</v>
      </c>
      <c r="F1768" s="14">
        <v>0.044398148148148145</v>
      </c>
      <c r="G1768" s="15" t="s">
        <v>1234</v>
      </c>
    </row>
    <row r="1769">
      <c r="A1769" s="4" t="s">
        <v>1671</v>
      </c>
      <c r="B1769" s="10">
        <v>737754.0</v>
      </c>
      <c r="C1769" s="16" t="s">
        <v>1386</v>
      </c>
      <c r="D1769" s="12" t="s">
        <v>14</v>
      </c>
      <c r="E1769" s="13" t="s">
        <v>38</v>
      </c>
      <c r="F1769" s="14">
        <v>0.036944444444444446</v>
      </c>
      <c r="G1769" s="15"/>
    </row>
    <row r="1770">
      <c r="A1770" s="4" t="s">
        <v>1671</v>
      </c>
      <c r="B1770" s="10">
        <v>182403.0</v>
      </c>
      <c r="C1770" s="16" t="s">
        <v>1678</v>
      </c>
      <c r="D1770" s="12" t="s">
        <v>14</v>
      </c>
      <c r="E1770" s="13" t="s">
        <v>15</v>
      </c>
      <c r="F1770" s="14">
        <v>0.04486111111111111</v>
      </c>
      <c r="G1770" s="15"/>
    </row>
    <row r="1771">
      <c r="A1771" s="4" t="s">
        <v>1671</v>
      </c>
      <c r="B1771" s="10">
        <v>373563.0</v>
      </c>
      <c r="C1771" s="16" t="s">
        <v>1679</v>
      </c>
      <c r="D1771" s="12" t="s">
        <v>14</v>
      </c>
      <c r="E1771" s="13" t="s">
        <v>15</v>
      </c>
      <c r="F1771" s="14">
        <v>0.04673611111111111</v>
      </c>
      <c r="G1771" s="15"/>
    </row>
    <row r="1772">
      <c r="A1772" s="4" t="s">
        <v>1671</v>
      </c>
      <c r="B1772" s="10">
        <v>431182.0</v>
      </c>
      <c r="C1772" s="16" t="s">
        <v>1232</v>
      </c>
      <c r="D1772" s="12" t="s">
        <v>14</v>
      </c>
      <c r="E1772" s="13" t="s">
        <v>15</v>
      </c>
      <c r="F1772" s="14">
        <v>0.03908564814814815</v>
      </c>
      <c r="G1772" s="15"/>
    </row>
    <row r="1773">
      <c r="A1773" s="4" t="s">
        <v>1671</v>
      </c>
      <c r="B1773" s="10">
        <v>2811712.0</v>
      </c>
      <c r="C1773" s="16" t="s">
        <v>115</v>
      </c>
      <c r="D1773" s="12" t="s">
        <v>14</v>
      </c>
      <c r="E1773" s="13" t="s">
        <v>26</v>
      </c>
      <c r="F1773" s="14">
        <v>0.013125</v>
      </c>
      <c r="G1773" s="18"/>
    </row>
    <row r="1774">
      <c r="A1774" s="4" t="s">
        <v>1671</v>
      </c>
      <c r="B1774" s="10">
        <v>782126.0</v>
      </c>
      <c r="C1774" s="16" t="s">
        <v>640</v>
      </c>
      <c r="D1774" s="12" t="s">
        <v>14</v>
      </c>
      <c r="E1774" s="13" t="s">
        <v>26</v>
      </c>
      <c r="F1774" s="14">
        <v>0.012291666666666666</v>
      </c>
      <c r="G1774" s="15"/>
    </row>
    <row r="1775">
      <c r="A1775" s="4" t="s">
        <v>1671</v>
      </c>
      <c r="B1775" s="10">
        <v>685023.0</v>
      </c>
      <c r="C1775" s="16" t="s">
        <v>1293</v>
      </c>
      <c r="D1775" s="12" t="s">
        <v>18</v>
      </c>
      <c r="E1775" s="13" t="s">
        <v>109</v>
      </c>
      <c r="F1775" s="14">
        <v>0.05386574074074074</v>
      </c>
      <c r="G1775" s="15"/>
    </row>
    <row r="1776">
      <c r="A1776" s="4" t="s">
        <v>1671</v>
      </c>
      <c r="B1776" s="10">
        <v>5028616.0</v>
      </c>
      <c r="C1776" s="16" t="s">
        <v>1680</v>
      </c>
      <c r="D1776" s="12" t="s">
        <v>18</v>
      </c>
      <c r="E1776" s="13" t="s">
        <v>109</v>
      </c>
      <c r="F1776" s="14">
        <v>0.01806712962962963</v>
      </c>
      <c r="G1776" s="21"/>
    </row>
    <row r="1777">
      <c r="A1777" s="4" t="s">
        <v>1671</v>
      </c>
      <c r="B1777" s="10">
        <v>2822054.0</v>
      </c>
      <c r="C1777" s="16" t="s">
        <v>1681</v>
      </c>
      <c r="D1777" s="12" t="s">
        <v>18</v>
      </c>
      <c r="E1777" s="13" t="s">
        <v>109</v>
      </c>
      <c r="F1777" s="14">
        <v>0.03023148148148148</v>
      </c>
      <c r="G1777" s="21"/>
    </row>
    <row r="1778">
      <c r="A1778" s="4" t="s">
        <v>1671</v>
      </c>
      <c r="B1778" s="10">
        <v>5028627.0</v>
      </c>
      <c r="C1778" s="16" t="s">
        <v>297</v>
      </c>
      <c r="D1778" s="12" t="s">
        <v>18</v>
      </c>
      <c r="E1778" s="13" t="s">
        <v>109</v>
      </c>
      <c r="F1778" s="14">
        <v>0.061064814814814815</v>
      </c>
      <c r="G1778" s="21"/>
    </row>
    <row r="1779">
      <c r="A1779" s="4" t="s">
        <v>1671</v>
      </c>
      <c r="B1779" s="10">
        <v>2825161.0</v>
      </c>
      <c r="C1779" s="16" t="s">
        <v>23</v>
      </c>
      <c r="D1779" s="12" t="s">
        <v>18</v>
      </c>
      <c r="E1779" s="13" t="s">
        <v>19</v>
      </c>
      <c r="F1779" s="14">
        <v>0.023680555555555555</v>
      </c>
      <c r="G1779" s="21"/>
    </row>
    <row r="1780">
      <c r="A1780" s="4" t="s">
        <v>1671</v>
      </c>
      <c r="B1780" s="10">
        <v>696327.0</v>
      </c>
      <c r="C1780" s="16" t="s">
        <v>1682</v>
      </c>
      <c r="D1780" s="12" t="s">
        <v>18</v>
      </c>
      <c r="E1780" s="13" t="s">
        <v>19</v>
      </c>
      <c r="F1780" s="14">
        <v>0.03417824074074074</v>
      </c>
      <c r="G1780" s="21"/>
    </row>
    <row r="1781">
      <c r="A1781" s="4" t="s">
        <v>1671</v>
      </c>
      <c r="B1781" s="10">
        <v>373992.0</v>
      </c>
      <c r="C1781" s="16" t="s">
        <v>643</v>
      </c>
      <c r="D1781" s="12" t="s">
        <v>18</v>
      </c>
      <c r="E1781" s="13" t="s">
        <v>15</v>
      </c>
      <c r="F1781" s="14">
        <v>0.03484953703703704</v>
      </c>
      <c r="G1781" s="21"/>
    </row>
    <row r="1782">
      <c r="A1782" s="4" t="s">
        <v>1671</v>
      </c>
      <c r="B1782" s="10">
        <v>167027.0</v>
      </c>
      <c r="C1782" s="16" t="s">
        <v>1289</v>
      </c>
      <c r="D1782" s="12" t="s">
        <v>18</v>
      </c>
      <c r="E1782" s="13" t="s">
        <v>15</v>
      </c>
      <c r="F1782" s="14">
        <v>0.055</v>
      </c>
      <c r="G1782" s="21"/>
    </row>
    <row r="1783">
      <c r="A1783" s="4" t="s">
        <v>1671</v>
      </c>
      <c r="B1783" s="10">
        <v>520220.0</v>
      </c>
      <c r="C1783" s="16" t="s">
        <v>120</v>
      </c>
      <c r="D1783" s="12" t="s">
        <v>18</v>
      </c>
      <c r="E1783" s="13" t="s">
        <v>15</v>
      </c>
      <c r="F1783" s="14">
        <v>0.03736111111111111</v>
      </c>
      <c r="G1783" s="21"/>
    </row>
    <row r="1784">
      <c r="A1784" s="4" t="s">
        <v>1671</v>
      </c>
      <c r="B1784" s="10">
        <v>183682.0</v>
      </c>
      <c r="C1784" s="16" t="s">
        <v>1683</v>
      </c>
      <c r="D1784" s="12" t="s">
        <v>18</v>
      </c>
      <c r="E1784" s="13" t="s">
        <v>15</v>
      </c>
      <c r="F1784" s="14">
        <v>0.05762731481481481</v>
      </c>
      <c r="G1784" s="21"/>
    </row>
    <row r="1785">
      <c r="A1785" s="4" t="s">
        <v>1671</v>
      </c>
      <c r="B1785" s="10">
        <v>2252216.0</v>
      </c>
      <c r="C1785" s="16" t="s">
        <v>305</v>
      </c>
      <c r="D1785" s="12" t="s">
        <v>18</v>
      </c>
      <c r="E1785" s="13" t="s">
        <v>15</v>
      </c>
      <c r="F1785" s="14">
        <v>0.03420138888888889</v>
      </c>
      <c r="G1785" s="21"/>
    </row>
    <row r="1786">
      <c r="A1786" s="4" t="s">
        <v>1671</v>
      </c>
      <c r="B1786" s="10">
        <v>2823038.0</v>
      </c>
      <c r="C1786" s="16" t="s">
        <v>1684</v>
      </c>
      <c r="D1786" s="12" t="s">
        <v>18</v>
      </c>
      <c r="E1786" s="13" t="s">
        <v>15</v>
      </c>
      <c r="F1786" s="14">
        <v>0.02914351851851852</v>
      </c>
      <c r="G1786" s="21"/>
    </row>
    <row r="1787">
      <c r="A1787" s="4" t="s">
        <v>1671</v>
      </c>
      <c r="B1787" s="10">
        <v>2825455.0</v>
      </c>
      <c r="C1787" s="16" t="s">
        <v>598</v>
      </c>
      <c r="D1787" s="12" t="s">
        <v>18</v>
      </c>
      <c r="E1787" s="13" t="s">
        <v>15</v>
      </c>
      <c r="F1787" s="14">
        <v>0.01962962962962963</v>
      </c>
      <c r="G1787" s="21"/>
    </row>
    <row r="1788">
      <c r="A1788" s="4" t="s">
        <v>1671</v>
      </c>
      <c r="B1788" s="10">
        <v>5015884.0</v>
      </c>
      <c r="C1788" s="16" t="s">
        <v>1397</v>
      </c>
      <c r="D1788" s="12" t="s">
        <v>18</v>
      </c>
      <c r="E1788" s="13" t="s">
        <v>15</v>
      </c>
      <c r="F1788" s="14">
        <v>0.012893518518518518</v>
      </c>
      <c r="G1788" s="21"/>
    </row>
    <row r="1789">
      <c r="A1789" s="4" t="s">
        <v>1671</v>
      </c>
      <c r="B1789" s="10">
        <v>784282.0</v>
      </c>
      <c r="C1789" s="16" t="s">
        <v>28</v>
      </c>
      <c r="D1789" s="12" t="s">
        <v>18</v>
      </c>
      <c r="E1789" s="13" t="s">
        <v>15</v>
      </c>
      <c r="F1789" s="14">
        <v>0.02167824074074074</v>
      </c>
      <c r="G1789" s="21"/>
    </row>
    <row r="1790">
      <c r="A1790" s="4" t="s">
        <v>1671</v>
      </c>
      <c r="B1790" s="10">
        <v>5015866.0</v>
      </c>
      <c r="C1790" s="16" t="s">
        <v>432</v>
      </c>
      <c r="D1790" s="12" t="s">
        <v>18</v>
      </c>
      <c r="E1790" s="13" t="s">
        <v>15</v>
      </c>
      <c r="F1790" s="14">
        <v>0.016747685185185185</v>
      </c>
      <c r="G1790" s="21"/>
    </row>
    <row r="1791">
      <c r="A1791" s="4" t="s">
        <v>1671</v>
      </c>
      <c r="B1791" s="10">
        <v>791342.0</v>
      </c>
      <c r="C1791" s="16" t="s">
        <v>308</v>
      </c>
      <c r="D1791" s="12" t="s">
        <v>18</v>
      </c>
      <c r="E1791" s="13" t="s">
        <v>15</v>
      </c>
      <c r="F1791" s="14">
        <v>0.047060185185185184</v>
      </c>
      <c r="G1791" s="21"/>
    </row>
    <row r="1792">
      <c r="A1792" s="4" t="s">
        <v>1671</v>
      </c>
      <c r="B1792" s="10">
        <v>2876118.0</v>
      </c>
      <c r="C1792" s="16" t="s">
        <v>1685</v>
      </c>
      <c r="D1792" s="12" t="s">
        <v>18</v>
      </c>
      <c r="E1792" s="13" t="s">
        <v>15</v>
      </c>
      <c r="F1792" s="14">
        <v>0.04697916666666667</v>
      </c>
      <c r="G1792" s="21"/>
    </row>
    <row r="1793">
      <c r="A1793" s="4" t="s">
        <v>1671</v>
      </c>
      <c r="B1793" s="10">
        <v>2890073.0</v>
      </c>
      <c r="C1793" s="16" t="s">
        <v>1686</v>
      </c>
      <c r="D1793" s="12" t="s">
        <v>18</v>
      </c>
      <c r="E1793" s="13" t="s">
        <v>15</v>
      </c>
      <c r="F1793" s="14">
        <v>0.01650462962962963</v>
      </c>
      <c r="G1793" s="21"/>
    </row>
    <row r="1794">
      <c r="A1794" s="4" t="s">
        <v>1671</v>
      </c>
      <c r="B1794" s="10">
        <v>688507.0</v>
      </c>
      <c r="C1794" s="16" t="s">
        <v>1687</v>
      </c>
      <c r="D1794" s="12" t="s">
        <v>18</v>
      </c>
      <c r="E1794" s="13" t="s">
        <v>26</v>
      </c>
      <c r="F1794" s="14">
        <v>0.056608796296296296</v>
      </c>
      <c r="G1794" s="21"/>
    </row>
    <row r="1795">
      <c r="A1795" s="4" t="s">
        <v>1671</v>
      </c>
      <c r="B1795" s="10">
        <v>3004946.0</v>
      </c>
      <c r="C1795" s="16" t="s">
        <v>1688</v>
      </c>
      <c r="D1795" s="12" t="s">
        <v>34</v>
      </c>
      <c r="E1795" s="13" t="s">
        <v>38</v>
      </c>
      <c r="F1795" s="14">
        <v>0.01615740740740741</v>
      </c>
      <c r="G1795" s="21"/>
    </row>
    <row r="1796">
      <c r="A1796" s="4" t="s">
        <v>1671</v>
      </c>
      <c r="B1796" s="10">
        <v>698662.0</v>
      </c>
      <c r="C1796" s="16" t="s">
        <v>1689</v>
      </c>
      <c r="D1796" s="12" t="s">
        <v>34</v>
      </c>
      <c r="E1796" s="13" t="s">
        <v>19</v>
      </c>
      <c r="F1796" s="14">
        <v>0.03914351851851852</v>
      </c>
      <c r="G1796" s="21"/>
    </row>
    <row r="1797">
      <c r="A1797" s="4" t="s">
        <v>1671</v>
      </c>
      <c r="B1797" s="10">
        <v>2848048.0</v>
      </c>
      <c r="C1797" s="16" t="s">
        <v>1690</v>
      </c>
      <c r="D1797" s="12" t="s">
        <v>34</v>
      </c>
      <c r="E1797" s="13" t="s">
        <v>15</v>
      </c>
      <c r="F1797" s="14">
        <v>0.030185185185185186</v>
      </c>
      <c r="G1797" s="21"/>
    </row>
    <row r="1798">
      <c r="A1798" s="4" t="s">
        <v>1671</v>
      </c>
      <c r="B1798" s="10">
        <v>5015876.0</v>
      </c>
      <c r="C1798" s="16" t="s">
        <v>1691</v>
      </c>
      <c r="D1798" s="12" t="s">
        <v>34</v>
      </c>
      <c r="E1798" s="13" t="s">
        <v>15</v>
      </c>
      <c r="F1798" s="14">
        <v>0.016319444444444445</v>
      </c>
      <c r="G1798" s="21"/>
    </row>
    <row r="1799">
      <c r="A1799" s="4" t="s">
        <v>1671</v>
      </c>
      <c r="B1799" s="10">
        <v>693074.0</v>
      </c>
      <c r="C1799" s="16" t="s">
        <v>1585</v>
      </c>
      <c r="D1799" s="12" t="s">
        <v>34</v>
      </c>
      <c r="E1799" s="13" t="s">
        <v>15</v>
      </c>
      <c r="F1799" s="14">
        <v>0.019791666666666666</v>
      </c>
      <c r="G1799" s="21"/>
    </row>
    <row r="1800">
      <c r="A1800" s="4" t="s">
        <v>1671</v>
      </c>
      <c r="B1800" s="10">
        <v>197201.0</v>
      </c>
      <c r="C1800" s="16" t="s">
        <v>1368</v>
      </c>
      <c r="D1800" s="12" t="s">
        <v>34</v>
      </c>
      <c r="E1800" s="13" t="s">
        <v>15</v>
      </c>
      <c r="F1800" s="14">
        <v>0.05016203703703704</v>
      </c>
      <c r="G1800" s="21"/>
    </row>
    <row r="1801">
      <c r="A1801" s="4" t="s">
        <v>1671</v>
      </c>
      <c r="B1801" s="10">
        <v>2894117.0</v>
      </c>
      <c r="C1801" s="16" t="s">
        <v>1251</v>
      </c>
      <c r="D1801" s="12" t="s">
        <v>34</v>
      </c>
      <c r="E1801" s="13" t="s">
        <v>15</v>
      </c>
      <c r="F1801" s="14">
        <v>0.011585648148148149</v>
      </c>
      <c r="G1801" s="21"/>
    </row>
    <row r="1802">
      <c r="A1802" s="4" t="s">
        <v>1671</v>
      </c>
      <c r="B1802" s="10">
        <v>2243043.0</v>
      </c>
      <c r="C1802" s="16" t="s">
        <v>1316</v>
      </c>
      <c r="D1802" s="12" t="s">
        <v>34</v>
      </c>
      <c r="E1802" s="13" t="s">
        <v>26</v>
      </c>
      <c r="F1802" s="14">
        <v>0.00525462962962963</v>
      </c>
      <c r="G1802" s="21"/>
    </row>
    <row r="1803">
      <c r="A1803" s="4" t="s">
        <v>1671</v>
      </c>
      <c r="B1803" s="10">
        <v>2876322.0</v>
      </c>
      <c r="C1803" s="16" t="s">
        <v>1692</v>
      </c>
      <c r="D1803" s="12" t="s">
        <v>31</v>
      </c>
      <c r="E1803" s="13" t="s">
        <v>26</v>
      </c>
      <c r="F1803" s="14">
        <v>0.029270833333333333</v>
      </c>
      <c r="G1803" s="21"/>
    </row>
    <row r="1804">
      <c r="A1804" s="4" t="s">
        <v>1671</v>
      </c>
      <c r="B1804" s="10">
        <v>794116.0</v>
      </c>
      <c r="C1804" s="16" t="s">
        <v>1693</v>
      </c>
      <c r="D1804" s="12" t="s">
        <v>26</v>
      </c>
      <c r="E1804" s="13" t="s">
        <v>109</v>
      </c>
      <c r="F1804" s="14">
        <v>0.04314814814814815</v>
      </c>
      <c r="G1804" s="21"/>
    </row>
    <row r="1805">
      <c r="A1805" s="4" t="s">
        <v>1671</v>
      </c>
      <c r="B1805" s="10">
        <v>2823579.0</v>
      </c>
      <c r="C1805" s="16" t="s">
        <v>130</v>
      </c>
      <c r="D1805" s="12" t="s">
        <v>26</v>
      </c>
      <c r="E1805" s="13" t="s">
        <v>109</v>
      </c>
      <c r="F1805" s="14">
        <v>0.022662037037037036</v>
      </c>
      <c r="G1805" s="21"/>
    </row>
    <row r="1806">
      <c r="A1806" s="4" t="s">
        <v>1671</v>
      </c>
      <c r="B1806" s="10">
        <v>630592.0</v>
      </c>
      <c r="C1806" s="16" t="s">
        <v>1694</v>
      </c>
      <c r="D1806" s="12" t="s">
        <v>26</v>
      </c>
      <c r="E1806" s="13" t="s">
        <v>38</v>
      </c>
      <c r="F1806" s="14">
        <v>0.025185185185185185</v>
      </c>
      <c r="G1806" s="21"/>
    </row>
    <row r="1807">
      <c r="A1807" s="4" t="s">
        <v>1671</v>
      </c>
      <c r="B1807" s="10">
        <v>2814144.0</v>
      </c>
      <c r="C1807" s="16" t="s">
        <v>1695</v>
      </c>
      <c r="D1807" s="12" t="s">
        <v>26</v>
      </c>
      <c r="E1807" s="13" t="s">
        <v>38</v>
      </c>
      <c r="F1807" s="14">
        <v>0.022835648148148147</v>
      </c>
      <c r="G1807" s="21"/>
    </row>
    <row r="1808">
      <c r="A1808" s="4" t="s">
        <v>1671</v>
      </c>
      <c r="B1808" s="10">
        <v>2814147.0</v>
      </c>
      <c r="C1808" s="16" t="s">
        <v>1696</v>
      </c>
      <c r="D1808" s="12" t="s">
        <v>26</v>
      </c>
      <c r="E1808" s="13" t="s">
        <v>38</v>
      </c>
      <c r="F1808" s="14">
        <v>0.015601851851851851</v>
      </c>
      <c r="G1808" s="21"/>
    </row>
    <row r="1809">
      <c r="A1809" s="4" t="s">
        <v>1671</v>
      </c>
      <c r="B1809" s="10">
        <v>2822592.0</v>
      </c>
      <c r="C1809" s="16" t="s">
        <v>772</v>
      </c>
      <c r="D1809" s="12" t="s">
        <v>26</v>
      </c>
      <c r="E1809" s="13" t="s">
        <v>38</v>
      </c>
      <c r="F1809" s="14">
        <v>0.05717592592592593</v>
      </c>
      <c r="G1809" s="21"/>
    </row>
    <row r="1810">
      <c r="A1810" s="4" t="s">
        <v>1671</v>
      </c>
      <c r="B1810" s="10">
        <v>2874277.0</v>
      </c>
      <c r="C1810" s="16" t="s">
        <v>1417</v>
      </c>
      <c r="D1810" s="12" t="s">
        <v>26</v>
      </c>
      <c r="E1810" s="13" t="s">
        <v>38</v>
      </c>
      <c r="F1810" s="14">
        <v>0.025902777777777778</v>
      </c>
      <c r="G1810" s="21"/>
    </row>
    <row r="1811">
      <c r="A1811" s="4" t="s">
        <v>1671</v>
      </c>
      <c r="B1811" s="10">
        <v>2893113.0</v>
      </c>
      <c r="C1811" s="16" t="s">
        <v>1256</v>
      </c>
      <c r="D1811" s="12" t="s">
        <v>26</v>
      </c>
      <c r="E1811" s="13" t="s">
        <v>38</v>
      </c>
      <c r="F1811" s="14">
        <v>0.010532407407407407</v>
      </c>
      <c r="G1811" s="21"/>
    </row>
    <row r="1812">
      <c r="A1812" s="4" t="s">
        <v>1671</v>
      </c>
      <c r="B1812" s="10">
        <v>3009567.0</v>
      </c>
      <c r="C1812" s="16" t="s">
        <v>1697</v>
      </c>
      <c r="D1812" s="12" t="s">
        <v>26</v>
      </c>
      <c r="E1812" s="13" t="s">
        <v>38</v>
      </c>
      <c r="F1812" s="14">
        <v>0.014537037037037038</v>
      </c>
      <c r="G1812" s="21"/>
    </row>
    <row r="1813">
      <c r="A1813" s="4" t="s">
        <v>1671</v>
      </c>
      <c r="B1813" s="10">
        <v>3155789.0</v>
      </c>
      <c r="C1813" s="16" t="s">
        <v>1698</v>
      </c>
      <c r="D1813" s="12" t="s">
        <v>26</v>
      </c>
      <c r="E1813" s="13" t="s">
        <v>38</v>
      </c>
      <c r="F1813" s="14">
        <v>0.03214120370370371</v>
      </c>
      <c r="G1813" s="21"/>
    </row>
    <row r="1814">
      <c r="A1814" s="4" t="s">
        <v>1671</v>
      </c>
      <c r="B1814" s="10">
        <v>2833086.0</v>
      </c>
      <c r="C1814" s="16" t="s">
        <v>611</v>
      </c>
      <c r="D1814" s="12" t="s">
        <v>26</v>
      </c>
      <c r="E1814" s="13" t="s">
        <v>38</v>
      </c>
      <c r="F1814" s="14">
        <v>0.03378472222222222</v>
      </c>
      <c r="G1814" s="21"/>
    </row>
    <row r="1815">
      <c r="A1815" s="4" t="s">
        <v>1671</v>
      </c>
      <c r="B1815" s="10">
        <v>3009141.0</v>
      </c>
      <c r="C1815" s="16" t="s">
        <v>1699</v>
      </c>
      <c r="D1815" s="12" t="s">
        <v>26</v>
      </c>
      <c r="E1815" s="13" t="s">
        <v>38</v>
      </c>
      <c r="F1815" s="14">
        <v>0.05471064814814815</v>
      </c>
      <c r="G1815" s="21"/>
    </row>
    <row r="1816">
      <c r="A1816" s="4" t="s">
        <v>1671</v>
      </c>
      <c r="B1816" s="10">
        <v>2898719.0</v>
      </c>
      <c r="C1816" s="16" t="s">
        <v>1700</v>
      </c>
      <c r="D1816" s="12" t="s">
        <v>26</v>
      </c>
      <c r="E1816" s="13" t="s">
        <v>19</v>
      </c>
      <c r="F1816" s="14">
        <v>0.05333333333333334</v>
      </c>
      <c r="G1816" s="21"/>
    </row>
    <row r="1817">
      <c r="A1817" s="4" t="s">
        <v>1671</v>
      </c>
      <c r="B1817" s="10">
        <v>2831006.0</v>
      </c>
      <c r="C1817" s="16" t="s">
        <v>1701</v>
      </c>
      <c r="D1817" s="12" t="s">
        <v>26</v>
      </c>
      <c r="E1817" s="13" t="s">
        <v>19</v>
      </c>
      <c r="F1817" s="14">
        <v>0.02826388888888889</v>
      </c>
      <c r="G1817" s="21"/>
    </row>
    <row r="1818">
      <c r="A1818" s="4" t="s">
        <v>1671</v>
      </c>
      <c r="B1818" s="10">
        <v>2824021.0</v>
      </c>
      <c r="C1818" s="16" t="s">
        <v>1702</v>
      </c>
      <c r="D1818" s="12" t="s">
        <v>26</v>
      </c>
      <c r="E1818" s="13" t="s">
        <v>19</v>
      </c>
      <c r="F1818" s="14">
        <v>0.025590277777777778</v>
      </c>
      <c r="G1818" s="21"/>
    </row>
    <row r="1819">
      <c r="A1819" s="4" t="s">
        <v>1671</v>
      </c>
      <c r="B1819" s="10">
        <v>2848327.0</v>
      </c>
      <c r="C1819" s="16" t="s">
        <v>1703</v>
      </c>
      <c r="D1819" s="12" t="s">
        <v>26</v>
      </c>
      <c r="E1819" s="13" t="s">
        <v>19</v>
      </c>
      <c r="F1819" s="14">
        <v>0.028391203703703703</v>
      </c>
      <c r="G1819" s="21"/>
    </row>
    <row r="1820">
      <c r="A1820" s="4" t="s">
        <v>1671</v>
      </c>
      <c r="B1820" s="10">
        <v>3001270.0</v>
      </c>
      <c r="C1820" s="16" t="s">
        <v>1704</v>
      </c>
      <c r="D1820" s="12" t="s">
        <v>26</v>
      </c>
      <c r="E1820" s="13" t="s">
        <v>19</v>
      </c>
      <c r="F1820" s="14">
        <v>0.033368055555555554</v>
      </c>
      <c r="G1820" s="21"/>
    </row>
    <row r="1821">
      <c r="A1821" s="4" t="s">
        <v>1671</v>
      </c>
      <c r="B1821" s="10">
        <v>2895101.0</v>
      </c>
      <c r="C1821" s="16" t="s">
        <v>289</v>
      </c>
      <c r="D1821" s="12" t="s">
        <v>26</v>
      </c>
      <c r="E1821" s="13" t="s">
        <v>15</v>
      </c>
      <c r="F1821" s="14">
        <v>0.037766203703703705</v>
      </c>
      <c r="G1821" s="21"/>
    </row>
    <row r="1822">
      <c r="A1822" s="4" t="s">
        <v>1671</v>
      </c>
      <c r="B1822" s="10">
        <v>2427401.0</v>
      </c>
      <c r="C1822" s="16" t="s">
        <v>1705</v>
      </c>
      <c r="D1822" s="12" t="s">
        <v>26</v>
      </c>
      <c r="E1822" s="13" t="s">
        <v>26</v>
      </c>
      <c r="F1822" s="14">
        <v>0.029953703703703705</v>
      </c>
      <c r="G1822" s="21"/>
    </row>
    <row r="1823">
      <c r="A1823" s="4" t="s">
        <v>1671</v>
      </c>
      <c r="B1823" s="10">
        <v>2887259.0</v>
      </c>
      <c r="C1823" s="16" t="s">
        <v>628</v>
      </c>
      <c r="D1823" s="12" t="s">
        <v>26</v>
      </c>
      <c r="E1823" s="13" t="s">
        <v>26</v>
      </c>
      <c r="F1823" s="14">
        <v>0.032789351851851854</v>
      </c>
      <c r="G1823" s="21"/>
    </row>
    <row r="1824">
      <c r="A1824" s="4" t="s">
        <v>1671</v>
      </c>
      <c r="B1824" s="10">
        <v>765312.0</v>
      </c>
      <c r="C1824" s="16" t="s">
        <v>1706</v>
      </c>
      <c r="D1824" s="12" t="s">
        <v>26</v>
      </c>
      <c r="E1824" s="13" t="s">
        <v>26</v>
      </c>
      <c r="F1824" s="14">
        <v>0.06204861111111111</v>
      </c>
      <c r="G1824" s="21"/>
    </row>
    <row r="1825">
      <c r="A1825" s="4" t="s">
        <v>1671</v>
      </c>
      <c r="B1825" s="10">
        <v>2825458.0</v>
      </c>
      <c r="C1825" s="16" t="s">
        <v>1266</v>
      </c>
      <c r="D1825" s="12" t="s">
        <v>26</v>
      </c>
      <c r="E1825" s="13" t="s">
        <v>26</v>
      </c>
      <c r="F1825" s="14">
        <v>0.022685185185185187</v>
      </c>
      <c r="G1825" s="21"/>
    </row>
    <row r="1826">
      <c r="A1826" s="4" t="s">
        <v>1671</v>
      </c>
      <c r="B1826" s="10">
        <v>2835087.0</v>
      </c>
      <c r="C1826" s="16" t="s">
        <v>1445</v>
      </c>
      <c r="D1826" s="12" t="s">
        <v>26</v>
      </c>
      <c r="E1826" s="13" t="s">
        <v>26</v>
      </c>
      <c r="F1826" s="14">
        <v>0.023680555555555555</v>
      </c>
      <c r="G1826" s="21"/>
    </row>
    <row r="1827">
      <c r="A1827" s="4" t="s">
        <v>1671</v>
      </c>
      <c r="B1827" s="10">
        <v>2817223.0</v>
      </c>
      <c r="C1827" s="16" t="s">
        <v>1707</v>
      </c>
      <c r="D1827" s="12" t="s">
        <v>26</v>
      </c>
      <c r="E1827" s="13" t="s">
        <v>26</v>
      </c>
      <c r="F1827" s="14">
        <v>0.03090277777777778</v>
      </c>
      <c r="G1827" s="21"/>
    </row>
    <row r="1828">
      <c r="A1828" s="4" t="s">
        <v>1671</v>
      </c>
      <c r="B1828" s="10">
        <v>2818050.0</v>
      </c>
      <c r="C1828" s="16" t="s">
        <v>887</v>
      </c>
      <c r="D1828" s="12" t="s">
        <v>26</v>
      </c>
      <c r="E1828" s="13" t="s">
        <v>26</v>
      </c>
      <c r="F1828" s="14">
        <v>0.0647337962962963</v>
      </c>
      <c r="G1828" s="21"/>
    </row>
    <row r="1829">
      <c r="A1829" s="4" t="s">
        <v>1671</v>
      </c>
      <c r="B1829" s="10">
        <v>2809588.0</v>
      </c>
      <c r="C1829" s="16" t="s">
        <v>1441</v>
      </c>
      <c r="D1829" s="12" t="s">
        <v>26</v>
      </c>
      <c r="E1829" s="13" t="s">
        <v>26</v>
      </c>
      <c r="F1829" s="14">
        <v>0.04043981481481482</v>
      </c>
      <c r="G1829" s="21"/>
    </row>
    <row r="1830">
      <c r="A1830" s="4" t="s">
        <v>1671</v>
      </c>
      <c r="B1830" s="10">
        <v>2874274.0</v>
      </c>
      <c r="C1830" s="16" t="s">
        <v>1446</v>
      </c>
      <c r="D1830" s="12" t="s">
        <v>26</v>
      </c>
      <c r="E1830" s="13" t="s">
        <v>26</v>
      </c>
      <c r="F1830" s="14">
        <v>0.0265625</v>
      </c>
      <c r="G1830" s="21"/>
    </row>
    <row r="1831">
      <c r="A1831" s="4" t="s">
        <v>1671</v>
      </c>
      <c r="B1831" s="10">
        <v>2874275.0</v>
      </c>
      <c r="C1831" s="16" t="s">
        <v>1447</v>
      </c>
      <c r="D1831" s="12" t="s">
        <v>26</v>
      </c>
      <c r="E1831" s="13" t="s">
        <v>26</v>
      </c>
      <c r="F1831" s="14">
        <v>0.02400462962962963</v>
      </c>
      <c r="G1831" s="21"/>
    </row>
    <row r="1832">
      <c r="A1832" s="4" t="s">
        <v>1671</v>
      </c>
      <c r="B1832" s="10">
        <v>2833101.0</v>
      </c>
      <c r="C1832" s="16" t="s">
        <v>557</v>
      </c>
      <c r="D1832" s="12" t="s">
        <v>26</v>
      </c>
      <c r="E1832" s="13" t="s">
        <v>15</v>
      </c>
      <c r="F1832" s="14">
        <v>0.03208333333333333</v>
      </c>
      <c r="G1832" s="21"/>
    </row>
    <row r="1833">
      <c r="A1833" s="4" t="s">
        <v>1671</v>
      </c>
      <c r="B1833" s="10">
        <v>2825616.0</v>
      </c>
      <c r="C1833" s="16" t="s">
        <v>953</v>
      </c>
      <c r="D1833" s="12" t="s">
        <v>26</v>
      </c>
      <c r="E1833" s="13" t="s">
        <v>15</v>
      </c>
      <c r="F1833" s="14">
        <v>0.03796296296296296</v>
      </c>
      <c r="G1833" s="21"/>
    </row>
    <row r="1834">
      <c r="A1834" s="4" t="s">
        <v>1671</v>
      </c>
      <c r="B1834" s="10">
        <v>2833073.0</v>
      </c>
      <c r="C1834" s="16" t="s">
        <v>560</v>
      </c>
      <c r="D1834" s="12" t="s">
        <v>26</v>
      </c>
      <c r="E1834" s="13" t="s">
        <v>15</v>
      </c>
      <c r="F1834" s="14">
        <v>0.08354166666666667</v>
      </c>
      <c r="G1834" s="21"/>
    </row>
    <row r="1835">
      <c r="A1835" s="4" t="s">
        <v>1671</v>
      </c>
      <c r="B1835" s="10">
        <v>434461.0</v>
      </c>
      <c r="C1835" s="16" t="s">
        <v>1052</v>
      </c>
      <c r="D1835" s="12" t="s">
        <v>26</v>
      </c>
      <c r="E1835" s="13" t="s">
        <v>15</v>
      </c>
      <c r="F1835" s="14">
        <v>0.03778935185185185</v>
      </c>
      <c r="G1835" s="21"/>
    </row>
    <row r="1836">
      <c r="A1836" s="4" t="s">
        <v>1671</v>
      </c>
      <c r="B1836" s="10">
        <v>2823041.0</v>
      </c>
      <c r="C1836" s="16" t="s">
        <v>1261</v>
      </c>
      <c r="D1836" s="12" t="s">
        <v>26</v>
      </c>
      <c r="E1836" s="13" t="s">
        <v>15</v>
      </c>
      <c r="F1836" s="14">
        <v>0.02775462962962963</v>
      </c>
      <c r="G1836" s="21"/>
    </row>
    <row r="1837">
      <c r="A1837" s="4" t="s">
        <v>1671</v>
      </c>
      <c r="B1837" s="10">
        <v>2213244.0</v>
      </c>
      <c r="C1837" s="16" t="s">
        <v>1708</v>
      </c>
      <c r="D1837" s="12" t="s">
        <v>26</v>
      </c>
      <c r="E1837" s="13" t="s">
        <v>15</v>
      </c>
      <c r="F1837" s="14">
        <v>0.05503472222222222</v>
      </c>
      <c r="G1837" s="21"/>
    </row>
    <row r="1838">
      <c r="A1838" s="4" t="s">
        <v>1671</v>
      </c>
      <c r="B1838" s="10">
        <v>2813285.0</v>
      </c>
      <c r="C1838" s="16" t="s">
        <v>1709</v>
      </c>
      <c r="D1838" s="12" t="s">
        <v>26</v>
      </c>
      <c r="E1838" s="13" t="s">
        <v>15</v>
      </c>
      <c r="F1838" s="14">
        <v>0.04241898148148148</v>
      </c>
      <c r="G1838" s="21"/>
    </row>
    <row r="1839">
      <c r="A1839" s="4" t="s">
        <v>1671</v>
      </c>
      <c r="B1839" s="10">
        <v>2822056.0</v>
      </c>
      <c r="C1839" s="16" t="s">
        <v>1710</v>
      </c>
      <c r="D1839" s="12" t="s">
        <v>26</v>
      </c>
      <c r="E1839" s="13" t="s">
        <v>15</v>
      </c>
      <c r="F1839" s="14">
        <v>0.04667824074074074</v>
      </c>
      <c r="G1839" s="21"/>
    </row>
    <row r="1840">
      <c r="A1840" s="4" t="s">
        <v>1671</v>
      </c>
      <c r="B1840" s="10">
        <v>2825373.0</v>
      </c>
      <c r="C1840" s="16" t="s">
        <v>1711</v>
      </c>
      <c r="D1840" s="12" t="s">
        <v>26</v>
      </c>
      <c r="E1840" s="13" t="s">
        <v>15</v>
      </c>
      <c r="F1840" s="14">
        <v>0.08328703703703703</v>
      </c>
      <c r="G1840" s="21"/>
    </row>
    <row r="1841">
      <c r="A1841" s="4" t="s">
        <v>1712</v>
      </c>
      <c r="B1841" s="5" t="s">
        <v>8</v>
      </c>
      <c r="C1841" s="6" t="s">
        <v>9</v>
      </c>
      <c r="D1841" s="7" t="s">
        <v>3</v>
      </c>
      <c r="E1841" s="7" t="s">
        <v>10</v>
      </c>
      <c r="F1841" s="8" t="s">
        <v>11</v>
      </c>
      <c r="G1841" s="9" t="s">
        <v>12</v>
      </c>
    </row>
    <row r="1842">
      <c r="A1842" s="4" t="s">
        <v>1712</v>
      </c>
      <c r="B1842" s="10">
        <v>3022076.0</v>
      </c>
      <c r="C1842" s="16" t="s">
        <v>1713</v>
      </c>
      <c r="D1842" s="12" t="s">
        <v>14</v>
      </c>
      <c r="E1842" s="13" t="s">
        <v>109</v>
      </c>
      <c r="F1842" s="14">
        <v>0.036377314814814814</v>
      </c>
      <c r="G1842" s="15" t="s">
        <v>1345</v>
      </c>
    </row>
    <row r="1843">
      <c r="A1843" s="4" t="s">
        <v>1712</v>
      </c>
      <c r="B1843" s="10">
        <v>5015872.0</v>
      </c>
      <c r="C1843" s="16" t="s">
        <v>590</v>
      </c>
      <c r="D1843" s="12" t="s">
        <v>14</v>
      </c>
      <c r="E1843" s="13" t="s">
        <v>15</v>
      </c>
      <c r="F1843" s="14">
        <v>0.012939814814814815</v>
      </c>
      <c r="G1843" s="18" t="s">
        <v>1714</v>
      </c>
    </row>
    <row r="1844">
      <c r="A1844" s="4" t="s">
        <v>1712</v>
      </c>
      <c r="B1844" s="10">
        <v>5015886.0</v>
      </c>
      <c r="C1844" s="16" t="s">
        <v>13</v>
      </c>
      <c r="D1844" s="12" t="s">
        <v>14</v>
      </c>
      <c r="E1844" s="13" t="s">
        <v>15</v>
      </c>
      <c r="F1844" s="14">
        <v>0.010231481481481482</v>
      </c>
      <c r="G1844" s="15" t="s">
        <v>838</v>
      </c>
    </row>
    <row r="1845">
      <c r="A1845" s="4" t="s">
        <v>1712</v>
      </c>
      <c r="B1845" s="10">
        <v>688515.0</v>
      </c>
      <c r="C1845" s="16" t="s">
        <v>994</v>
      </c>
      <c r="D1845" s="12" t="s">
        <v>14</v>
      </c>
      <c r="E1845" s="13" t="s">
        <v>109</v>
      </c>
      <c r="F1845" s="14">
        <v>0.03480324074074074</v>
      </c>
      <c r="G1845" s="15" t="s">
        <v>1347</v>
      </c>
    </row>
    <row r="1846">
      <c r="A1846" s="4" t="s">
        <v>1712</v>
      </c>
      <c r="B1846" s="10">
        <v>570964.0</v>
      </c>
      <c r="C1846" s="16" t="s">
        <v>1010</v>
      </c>
      <c r="D1846" s="12" t="s">
        <v>18</v>
      </c>
      <c r="E1846" s="13" t="s">
        <v>109</v>
      </c>
      <c r="F1846" s="14">
        <v>0.05741898148148148</v>
      </c>
      <c r="G1846" s="15" t="s">
        <v>1715</v>
      </c>
    </row>
    <row r="1847">
      <c r="A1847" s="4" t="s">
        <v>1712</v>
      </c>
      <c r="B1847" s="10">
        <v>624208.0</v>
      </c>
      <c r="C1847" s="16" t="s">
        <v>1716</v>
      </c>
      <c r="D1847" s="12" t="s">
        <v>18</v>
      </c>
      <c r="E1847" s="13" t="s">
        <v>109</v>
      </c>
      <c r="F1847" s="14">
        <v>0.039907407407407405</v>
      </c>
      <c r="G1847" s="17" t="s">
        <v>1717</v>
      </c>
    </row>
    <row r="1848">
      <c r="A1848" s="4" t="s">
        <v>1712</v>
      </c>
      <c r="B1848" s="10">
        <v>536419.0</v>
      </c>
      <c r="C1848" s="16" t="s">
        <v>1348</v>
      </c>
      <c r="D1848" s="12" t="s">
        <v>18</v>
      </c>
      <c r="E1848" s="13" t="s">
        <v>38</v>
      </c>
      <c r="F1848" s="14">
        <v>0.02732638888888889</v>
      </c>
      <c r="G1848" s="17" t="s">
        <v>1008</v>
      </c>
    </row>
    <row r="1849">
      <c r="A1849" s="4" t="s">
        <v>1712</v>
      </c>
      <c r="B1849" s="10">
        <v>2825161.0</v>
      </c>
      <c r="C1849" s="16" t="s">
        <v>23</v>
      </c>
      <c r="D1849" s="12" t="s">
        <v>18</v>
      </c>
      <c r="E1849" s="13" t="s">
        <v>19</v>
      </c>
      <c r="F1849" s="14">
        <v>0.023680555555555555</v>
      </c>
      <c r="G1849" s="17" t="s">
        <v>167</v>
      </c>
    </row>
    <row r="1850">
      <c r="A1850" s="4" t="s">
        <v>1712</v>
      </c>
      <c r="B1850" s="10">
        <v>661748.0</v>
      </c>
      <c r="C1850" s="16" t="s">
        <v>172</v>
      </c>
      <c r="D1850" s="12" t="s">
        <v>18</v>
      </c>
      <c r="E1850" s="13" t="s">
        <v>19</v>
      </c>
      <c r="F1850" s="14">
        <v>0.03037037037037037</v>
      </c>
      <c r="G1850" s="21"/>
    </row>
    <row r="1851">
      <c r="A1851" s="4" t="s">
        <v>1712</v>
      </c>
      <c r="B1851" s="10">
        <v>672246.0</v>
      </c>
      <c r="C1851" s="16" t="s">
        <v>1718</v>
      </c>
      <c r="D1851" s="12" t="s">
        <v>18</v>
      </c>
      <c r="E1851" s="13" t="s">
        <v>26</v>
      </c>
      <c r="F1851" s="14">
        <v>0.01923611111111111</v>
      </c>
      <c r="G1851" s="17"/>
    </row>
    <row r="1852">
      <c r="A1852" s="4" t="s">
        <v>1712</v>
      </c>
      <c r="B1852" s="10">
        <v>2242045.0</v>
      </c>
      <c r="C1852" s="11" t="s">
        <v>1241</v>
      </c>
      <c r="D1852" s="12" t="s">
        <v>18</v>
      </c>
      <c r="E1852" s="13" t="s">
        <v>26</v>
      </c>
      <c r="F1852" s="14">
        <v>0.005138888888888889</v>
      </c>
      <c r="G1852" s="17"/>
    </row>
    <row r="1853">
      <c r="A1853" s="4" t="s">
        <v>1712</v>
      </c>
      <c r="B1853" s="10">
        <v>672234.0</v>
      </c>
      <c r="C1853" s="16" t="s">
        <v>1350</v>
      </c>
      <c r="D1853" s="12" t="s">
        <v>18</v>
      </c>
      <c r="E1853" s="13" t="s">
        <v>15</v>
      </c>
      <c r="F1853" s="14">
        <v>0.020902777777777777</v>
      </c>
      <c r="G1853" s="17"/>
    </row>
    <row r="1854">
      <c r="A1854" s="4" t="s">
        <v>1712</v>
      </c>
      <c r="B1854" s="10">
        <v>700792.0</v>
      </c>
      <c r="C1854" s="16" t="s">
        <v>234</v>
      </c>
      <c r="D1854" s="12" t="s">
        <v>18</v>
      </c>
      <c r="E1854" s="13" t="s">
        <v>15</v>
      </c>
      <c r="F1854" s="14">
        <v>0.025138888888888888</v>
      </c>
      <c r="G1854" s="21"/>
    </row>
    <row r="1855">
      <c r="A1855" s="4" t="s">
        <v>1712</v>
      </c>
      <c r="B1855" s="10">
        <v>2252217.0</v>
      </c>
      <c r="C1855" s="16" t="s">
        <v>1719</v>
      </c>
      <c r="D1855" s="12" t="s">
        <v>18</v>
      </c>
      <c r="E1855" s="13" t="s">
        <v>15</v>
      </c>
      <c r="F1855" s="14">
        <v>0.029282407407407406</v>
      </c>
      <c r="G1855" s="21"/>
    </row>
    <row r="1856">
      <c r="A1856" s="4" t="s">
        <v>1712</v>
      </c>
      <c r="B1856" s="10">
        <v>2806197.0</v>
      </c>
      <c r="C1856" s="16" t="s">
        <v>1290</v>
      </c>
      <c r="D1856" s="12" t="s">
        <v>18</v>
      </c>
      <c r="E1856" s="13" t="s">
        <v>15</v>
      </c>
      <c r="F1856" s="14">
        <v>0.01902777777777778</v>
      </c>
      <c r="G1856" s="21"/>
    </row>
    <row r="1857">
      <c r="A1857" s="4" t="s">
        <v>1712</v>
      </c>
      <c r="B1857" s="10">
        <v>659268.0</v>
      </c>
      <c r="C1857" s="16" t="s">
        <v>1000</v>
      </c>
      <c r="D1857" s="12" t="s">
        <v>18</v>
      </c>
      <c r="E1857" s="13" t="s">
        <v>15</v>
      </c>
      <c r="F1857" s="14">
        <v>0.021979166666666668</v>
      </c>
      <c r="G1857" s="21"/>
    </row>
    <row r="1858">
      <c r="A1858" s="4" t="s">
        <v>1712</v>
      </c>
      <c r="B1858" s="10">
        <v>706913.0</v>
      </c>
      <c r="C1858" s="16" t="s">
        <v>1720</v>
      </c>
      <c r="D1858" s="12" t="s">
        <v>18</v>
      </c>
      <c r="E1858" s="13" t="s">
        <v>15</v>
      </c>
      <c r="F1858" s="14">
        <v>0.02648148148148148</v>
      </c>
      <c r="G1858" s="21"/>
    </row>
    <row r="1859">
      <c r="A1859" s="4" t="s">
        <v>1712</v>
      </c>
      <c r="B1859" s="10">
        <v>696326.0</v>
      </c>
      <c r="C1859" s="16" t="s">
        <v>311</v>
      </c>
      <c r="D1859" s="12" t="s">
        <v>18</v>
      </c>
      <c r="E1859" s="13" t="s">
        <v>15</v>
      </c>
      <c r="F1859" s="14">
        <v>0.05327546296296296</v>
      </c>
      <c r="G1859" s="21"/>
    </row>
    <row r="1860">
      <c r="A1860" s="4" t="s">
        <v>1712</v>
      </c>
      <c r="B1860" s="10">
        <v>3107154.0</v>
      </c>
      <c r="C1860" s="16" t="s">
        <v>1353</v>
      </c>
      <c r="D1860" s="12" t="s">
        <v>18</v>
      </c>
      <c r="E1860" s="13" t="s">
        <v>15</v>
      </c>
      <c r="F1860" s="14">
        <v>0.021064814814814814</v>
      </c>
      <c r="G1860" s="21"/>
    </row>
    <row r="1861">
      <c r="A1861" s="4" t="s">
        <v>1712</v>
      </c>
      <c r="B1861" s="10">
        <v>427474.0</v>
      </c>
      <c r="C1861" s="16" t="s">
        <v>174</v>
      </c>
      <c r="D1861" s="12" t="s">
        <v>34</v>
      </c>
      <c r="E1861" s="13" t="s">
        <v>38</v>
      </c>
      <c r="F1861" s="14">
        <v>0.0390625</v>
      </c>
      <c r="G1861" s="21"/>
    </row>
    <row r="1862">
      <c r="A1862" s="4" t="s">
        <v>1712</v>
      </c>
      <c r="B1862" s="10">
        <v>456353.0</v>
      </c>
      <c r="C1862" s="16" t="s">
        <v>175</v>
      </c>
      <c r="D1862" s="12" t="s">
        <v>34</v>
      </c>
      <c r="E1862" s="13" t="s">
        <v>38</v>
      </c>
      <c r="F1862" s="14">
        <v>0.03857638888888889</v>
      </c>
      <c r="G1862" s="21"/>
    </row>
    <row r="1863">
      <c r="A1863" s="4" t="s">
        <v>1712</v>
      </c>
      <c r="B1863" s="10">
        <v>2876075.0</v>
      </c>
      <c r="C1863" s="16" t="s">
        <v>1721</v>
      </c>
      <c r="D1863" s="12" t="s">
        <v>34</v>
      </c>
      <c r="E1863" s="13" t="s">
        <v>38</v>
      </c>
      <c r="F1863" s="14">
        <v>0.033935185185185186</v>
      </c>
      <c r="G1863" s="21"/>
    </row>
    <row r="1864">
      <c r="A1864" s="4" t="s">
        <v>1712</v>
      </c>
      <c r="B1864" s="10">
        <v>737767.0</v>
      </c>
      <c r="C1864" s="16" t="s">
        <v>1722</v>
      </c>
      <c r="D1864" s="12" t="s">
        <v>34</v>
      </c>
      <c r="E1864" s="13" t="s">
        <v>38</v>
      </c>
      <c r="F1864" s="14">
        <v>0.023483796296296298</v>
      </c>
      <c r="G1864" s="21"/>
    </row>
    <row r="1865">
      <c r="A1865" s="4" t="s">
        <v>1712</v>
      </c>
      <c r="B1865" s="10">
        <v>688508.0</v>
      </c>
      <c r="C1865" s="16" t="s">
        <v>185</v>
      </c>
      <c r="D1865" s="12" t="s">
        <v>34</v>
      </c>
      <c r="E1865" s="13" t="s">
        <v>19</v>
      </c>
      <c r="F1865" s="14">
        <v>0.032337962962962964</v>
      </c>
      <c r="G1865" s="21"/>
    </row>
    <row r="1866">
      <c r="A1866" s="4" t="s">
        <v>1712</v>
      </c>
      <c r="B1866" s="10">
        <v>802842.0</v>
      </c>
      <c r="C1866" s="16" t="s">
        <v>183</v>
      </c>
      <c r="D1866" s="12" t="s">
        <v>34</v>
      </c>
      <c r="E1866" s="13" t="s">
        <v>19</v>
      </c>
      <c r="F1866" s="14">
        <v>0.03754629629629629</v>
      </c>
      <c r="G1866" s="21"/>
    </row>
    <row r="1867">
      <c r="A1867" s="4" t="s">
        <v>1712</v>
      </c>
      <c r="B1867" s="10">
        <v>5015861.0</v>
      </c>
      <c r="C1867" s="16" t="s">
        <v>1723</v>
      </c>
      <c r="D1867" s="12" t="s">
        <v>34</v>
      </c>
      <c r="E1867" s="13" t="s">
        <v>19</v>
      </c>
      <c r="F1867" s="14">
        <v>0.01925925925925926</v>
      </c>
      <c r="G1867" s="21"/>
    </row>
    <row r="1868">
      <c r="A1868" s="4" t="s">
        <v>1712</v>
      </c>
      <c r="B1868" s="10">
        <v>3107152.0</v>
      </c>
      <c r="C1868" s="16" t="s">
        <v>1362</v>
      </c>
      <c r="D1868" s="12" t="s">
        <v>34</v>
      </c>
      <c r="E1868" s="13" t="s">
        <v>19</v>
      </c>
      <c r="F1868" s="14">
        <v>0.019710648148148147</v>
      </c>
      <c r="G1868" s="21"/>
    </row>
    <row r="1869">
      <c r="A1869" s="4" t="s">
        <v>1712</v>
      </c>
      <c r="B1869" s="10">
        <v>693069.0</v>
      </c>
      <c r="C1869" s="16" t="s">
        <v>1365</v>
      </c>
      <c r="D1869" s="12" t="s">
        <v>34</v>
      </c>
      <c r="E1869" s="13" t="s">
        <v>26</v>
      </c>
      <c r="F1869" s="14">
        <v>0.024212962962962964</v>
      </c>
      <c r="G1869" s="21"/>
    </row>
    <row r="1870">
      <c r="A1870" s="4" t="s">
        <v>1712</v>
      </c>
      <c r="B1870" s="10">
        <v>167028.0</v>
      </c>
      <c r="C1870" s="16" t="s">
        <v>188</v>
      </c>
      <c r="D1870" s="12" t="s">
        <v>34</v>
      </c>
      <c r="E1870" s="13" t="s">
        <v>15</v>
      </c>
      <c r="F1870" s="14">
        <v>0.07655092592592593</v>
      </c>
      <c r="G1870" s="21"/>
    </row>
    <row r="1871">
      <c r="A1871" s="4" t="s">
        <v>1712</v>
      </c>
      <c r="B1871" s="10">
        <v>592488.0</v>
      </c>
      <c r="C1871" s="16" t="s">
        <v>1724</v>
      </c>
      <c r="D1871" s="12" t="s">
        <v>34</v>
      </c>
      <c r="E1871" s="13" t="s">
        <v>15</v>
      </c>
      <c r="F1871" s="14">
        <v>0.04165509259259259</v>
      </c>
      <c r="G1871" s="21"/>
    </row>
    <row r="1872">
      <c r="A1872" s="4" t="s">
        <v>1712</v>
      </c>
      <c r="B1872" s="10">
        <v>645011.0</v>
      </c>
      <c r="C1872" s="16" t="s">
        <v>1367</v>
      </c>
      <c r="D1872" s="12" t="s">
        <v>34</v>
      </c>
      <c r="E1872" s="13" t="s">
        <v>15</v>
      </c>
      <c r="F1872" s="14">
        <v>0.032824074074074075</v>
      </c>
      <c r="G1872" s="21"/>
    </row>
    <row r="1873">
      <c r="A1873" s="4" t="s">
        <v>1712</v>
      </c>
      <c r="B1873" s="10">
        <v>713373.0</v>
      </c>
      <c r="C1873" s="16" t="s">
        <v>1309</v>
      </c>
      <c r="D1873" s="12" t="s">
        <v>34</v>
      </c>
      <c r="E1873" s="13" t="s">
        <v>15</v>
      </c>
      <c r="F1873" s="14">
        <v>0.023796296296296298</v>
      </c>
      <c r="G1873" s="21"/>
    </row>
    <row r="1874">
      <c r="A1874" s="4" t="s">
        <v>1712</v>
      </c>
      <c r="B1874" s="10">
        <v>737756.0</v>
      </c>
      <c r="C1874" s="16" t="s">
        <v>189</v>
      </c>
      <c r="D1874" s="12" t="s">
        <v>34</v>
      </c>
      <c r="E1874" s="13" t="s">
        <v>15</v>
      </c>
      <c r="F1874" s="14">
        <v>0.03671296296296296</v>
      </c>
      <c r="G1874" s="21"/>
    </row>
    <row r="1875">
      <c r="A1875" s="4" t="s">
        <v>1712</v>
      </c>
      <c r="B1875" s="10">
        <v>746305.0</v>
      </c>
      <c r="C1875" s="16" t="s">
        <v>407</v>
      </c>
      <c r="D1875" s="12" t="s">
        <v>34</v>
      </c>
      <c r="E1875" s="13" t="s">
        <v>15</v>
      </c>
      <c r="F1875" s="14">
        <v>0.04052083333333333</v>
      </c>
      <c r="G1875" s="21"/>
    </row>
    <row r="1876">
      <c r="A1876" s="4" t="s">
        <v>1712</v>
      </c>
      <c r="B1876" s="10">
        <v>758620.0</v>
      </c>
      <c r="C1876" s="16" t="s">
        <v>1725</v>
      </c>
      <c r="D1876" s="12" t="s">
        <v>34</v>
      </c>
      <c r="E1876" s="13" t="s">
        <v>15</v>
      </c>
      <c r="F1876" s="14">
        <v>0.02994212962962963</v>
      </c>
      <c r="G1876" s="21"/>
    </row>
    <row r="1877">
      <c r="A1877" s="4" t="s">
        <v>1712</v>
      </c>
      <c r="B1877" s="10">
        <v>711794.0</v>
      </c>
      <c r="C1877" s="16" t="s">
        <v>244</v>
      </c>
      <c r="D1877" s="12" t="s">
        <v>34</v>
      </c>
      <c r="E1877" s="13" t="s">
        <v>15</v>
      </c>
      <c r="F1877" s="14">
        <v>0.030208333333333334</v>
      </c>
      <c r="G1877" s="21"/>
    </row>
    <row r="1878">
      <c r="A1878" s="4" t="s">
        <v>1712</v>
      </c>
      <c r="B1878" s="10">
        <v>2887215.0</v>
      </c>
      <c r="C1878" s="16" t="s">
        <v>1587</v>
      </c>
      <c r="D1878" s="12" t="s">
        <v>34</v>
      </c>
      <c r="E1878" s="13" t="s">
        <v>15</v>
      </c>
      <c r="F1878" s="14">
        <v>0.048935185185185186</v>
      </c>
      <c r="G1878" s="21"/>
    </row>
    <row r="1879">
      <c r="A1879" s="4" t="s">
        <v>1712</v>
      </c>
      <c r="B1879" s="10">
        <v>2825160.0</v>
      </c>
      <c r="C1879" s="16" t="s">
        <v>1726</v>
      </c>
      <c r="D1879" s="12" t="s">
        <v>31</v>
      </c>
      <c r="E1879" s="13" t="s">
        <v>38</v>
      </c>
      <c r="F1879" s="14">
        <v>0.027916666666666666</v>
      </c>
      <c r="G1879" s="21"/>
    </row>
    <row r="1880">
      <c r="A1880" s="4" t="s">
        <v>1712</v>
      </c>
      <c r="B1880" s="10">
        <v>2880061.0</v>
      </c>
      <c r="C1880" s="16" t="s">
        <v>1374</v>
      </c>
      <c r="D1880" s="12" t="s">
        <v>31</v>
      </c>
      <c r="E1880" s="13" t="s">
        <v>15</v>
      </c>
      <c r="F1880" s="14">
        <v>0.03815972222222222</v>
      </c>
      <c r="G1880" s="21"/>
    </row>
    <row r="1881">
      <c r="A1881" s="4" t="s">
        <v>1712</v>
      </c>
      <c r="B1881" s="10">
        <v>2812133.0</v>
      </c>
      <c r="C1881" s="16" t="s">
        <v>884</v>
      </c>
      <c r="D1881" s="12" t="s">
        <v>26</v>
      </c>
      <c r="E1881" s="13" t="s">
        <v>109</v>
      </c>
      <c r="F1881" s="14">
        <v>0.047546296296296295</v>
      </c>
      <c r="G1881" s="21"/>
    </row>
    <row r="1882">
      <c r="A1882" s="4" t="s">
        <v>1712</v>
      </c>
      <c r="B1882" s="10">
        <v>2829005.0</v>
      </c>
      <c r="C1882" s="16" t="s">
        <v>692</v>
      </c>
      <c r="D1882" s="12" t="s">
        <v>26</v>
      </c>
      <c r="E1882" s="13" t="s">
        <v>109</v>
      </c>
      <c r="F1882" s="14">
        <v>0.024479166666666666</v>
      </c>
      <c r="G1882" s="21"/>
    </row>
    <row r="1883">
      <c r="A1883" s="4" t="s">
        <v>1712</v>
      </c>
      <c r="B1883" s="10">
        <v>2825747.0</v>
      </c>
      <c r="C1883" s="16" t="s">
        <v>1727</v>
      </c>
      <c r="D1883" s="12" t="s">
        <v>26</v>
      </c>
      <c r="E1883" s="13" t="s">
        <v>38</v>
      </c>
      <c r="F1883" s="14">
        <v>0.01545138888888889</v>
      </c>
      <c r="G1883" s="21"/>
    </row>
    <row r="1884">
      <c r="A1884" s="4" t="s">
        <v>1712</v>
      </c>
      <c r="B1884" s="10">
        <v>721895.0</v>
      </c>
      <c r="C1884" s="16" t="s">
        <v>1728</v>
      </c>
      <c r="D1884" s="12" t="s">
        <v>26</v>
      </c>
      <c r="E1884" s="13" t="s">
        <v>38</v>
      </c>
      <c r="F1884" s="14">
        <v>0.04672453703703704</v>
      </c>
      <c r="G1884" s="21"/>
    </row>
    <row r="1885">
      <c r="A1885" s="4" t="s">
        <v>1712</v>
      </c>
      <c r="B1885" s="10">
        <v>2805907.0</v>
      </c>
      <c r="C1885" s="16" t="s">
        <v>330</v>
      </c>
      <c r="D1885" s="12" t="s">
        <v>26</v>
      </c>
      <c r="E1885" s="13" t="s">
        <v>38</v>
      </c>
      <c r="F1885" s="14">
        <v>0.00949074074074074</v>
      </c>
      <c r="G1885" s="21"/>
    </row>
    <row r="1886">
      <c r="A1886" s="4" t="s">
        <v>1712</v>
      </c>
      <c r="B1886" s="10">
        <v>2807858.0</v>
      </c>
      <c r="C1886" s="16" t="s">
        <v>331</v>
      </c>
      <c r="D1886" s="12" t="s">
        <v>26</v>
      </c>
      <c r="E1886" s="13" t="s">
        <v>38</v>
      </c>
      <c r="F1886" s="14">
        <v>0.011689814814814814</v>
      </c>
      <c r="G1886" s="21"/>
    </row>
    <row r="1887">
      <c r="A1887" s="4" t="s">
        <v>1712</v>
      </c>
      <c r="B1887" s="10">
        <v>3011646.0</v>
      </c>
      <c r="C1887" s="16" t="s">
        <v>1729</v>
      </c>
      <c r="D1887" s="12" t="s">
        <v>26</v>
      </c>
      <c r="E1887" s="13" t="s">
        <v>38</v>
      </c>
      <c r="F1887" s="14">
        <v>0.02652777777777778</v>
      </c>
      <c r="G1887" s="21"/>
    </row>
    <row r="1888">
      <c r="A1888" s="4" t="s">
        <v>1712</v>
      </c>
      <c r="B1888" s="10">
        <v>2453229.0</v>
      </c>
      <c r="C1888" s="16" t="s">
        <v>1730</v>
      </c>
      <c r="D1888" s="12" t="s">
        <v>26</v>
      </c>
      <c r="E1888" s="13" t="s">
        <v>38</v>
      </c>
      <c r="F1888" s="14">
        <v>0.03273148148148148</v>
      </c>
      <c r="G1888" s="21"/>
    </row>
    <row r="1889">
      <c r="A1889" s="4" t="s">
        <v>1712</v>
      </c>
      <c r="B1889" s="10">
        <v>2462123.0</v>
      </c>
      <c r="C1889" s="16" t="s">
        <v>1731</v>
      </c>
      <c r="D1889" s="12" t="s">
        <v>26</v>
      </c>
      <c r="E1889" s="13" t="s">
        <v>38</v>
      </c>
      <c r="F1889" s="14">
        <v>0.028969907407407406</v>
      </c>
      <c r="G1889" s="21"/>
    </row>
    <row r="1890">
      <c r="A1890" s="4" t="s">
        <v>1712</v>
      </c>
      <c r="B1890" s="10">
        <v>2822308.0</v>
      </c>
      <c r="C1890" s="16" t="s">
        <v>1732</v>
      </c>
      <c r="D1890" s="12" t="s">
        <v>26</v>
      </c>
      <c r="E1890" s="13" t="s">
        <v>19</v>
      </c>
      <c r="F1890" s="14">
        <v>0.024699074074074075</v>
      </c>
      <c r="G1890" s="21"/>
    </row>
    <row r="1891">
      <c r="A1891" s="4" t="s">
        <v>1712</v>
      </c>
      <c r="B1891" s="10">
        <v>2825489.0</v>
      </c>
      <c r="C1891" s="16" t="s">
        <v>1378</v>
      </c>
      <c r="D1891" s="12" t="s">
        <v>26</v>
      </c>
      <c r="E1891" s="13" t="s">
        <v>19</v>
      </c>
      <c r="F1891" s="14">
        <v>0.02582175925925926</v>
      </c>
      <c r="G1891" s="21"/>
    </row>
    <row r="1892">
      <c r="A1892" s="4" t="s">
        <v>1712</v>
      </c>
      <c r="B1892" s="10">
        <v>2825600.0</v>
      </c>
      <c r="C1892" s="16" t="s">
        <v>1733</v>
      </c>
      <c r="D1892" s="12" t="s">
        <v>26</v>
      </c>
      <c r="E1892" s="13" t="s">
        <v>19</v>
      </c>
      <c r="F1892" s="14">
        <v>0.016655092592592593</v>
      </c>
      <c r="G1892" s="21"/>
    </row>
    <row r="1893">
      <c r="A1893" s="4" t="s">
        <v>1712</v>
      </c>
      <c r="B1893" s="10">
        <v>622053.0</v>
      </c>
      <c r="C1893" s="16" t="s">
        <v>274</v>
      </c>
      <c r="D1893" s="12" t="s">
        <v>26</v>
      </c>
      <c r="E1893" s="13" t="s">
        <v>19</v>
      </c>
      <c r="F1893" s="14">
        <v>0.03346064814814815</v>
      </c>
      <c r="G1893" s="21"/>
    </row>
    <row r="1894">
      <c r="A1894" s="4" t="s">
        <v>1712</v>
      </c>
      <c r="B1894" s="10">
        <v>2824254.0</v>
      </c>
      <c r="C1894" s="16" t="s">
        <v>1734</v>
      </c>
      <c r="D1894" s="12" t="s">
        <v>26</v>
      </c>
      <c r="E1894" s="13" t="s">
        <v>19</v>
      </c>
      <c r="F1894" s="14">
        <v>0.018900462962962963</v>
      </c>
      <c r="G1894" s="21"/>
    </row>
    <row r="1895">
      <c r="A1895" s="4" t="s">
        <v>1712</v>
      </c>
      <c r="B1895" s="10">
        <v>647657.0</v>
      </c>
      <c r="C1895" s="16" t="s">
        <v>216</v>
      </c>
      <c r="D1895" s="12" t="s">
        <v>26</v>
      </c>
      <c r="E1895" s="13" t="s">
        <v>26</v>
      </c>
      <c r="F1895" s="14">
        <v>0.027175925925925926</v>
      </c>
      <c r="G1895" s="21"/>
    </row>
    <row r="1896">
      <c r="A1896" s="4" t="s">
        <v>1712</v>
      </c>
      <c r="B1896" s="10">
        <v>656791.0</v>
      </c>
      <c r="C1896" s="16" t="s">
        <v>1735</v>
      </c>
      <c r="D1896" s="12" t="s">
        <v>26</v>
      </c>
      <c r="E1896" s="13" t="s">
        <v>26</v>
      </c>
      <c r="F1896" s="14">
        <v>0.039768518518518516</v>
      </c>
      <c r="G1896" s="21"/>
    </row>
    <row r="1897">
      <c r="A1897" s="4" t="s">
        <v>1712</v>
      </c>
      <c r="B1897" s="10">
        <v>2819211.0</v>
      </c>
      <c r="C1897" s="16" t="s">
        <v>1736</v>
      </c>
      <c r="D1897" s="12" t="s">
        <v>26</v>
      </c>
      <c r="E1897" s="13" t="s">
        <v>26</v>
      </c>
      <c r="F1897" s="14">
        <v>0.030706018518518518</v>
      </c>
      <c r="G1897" s="21"/>
    </row>
    <row r="1898">
      <c r="A1898" s="4" t="s">
        <v>1712</v>
      </c>
      <c r="B1898" s="10">
        <v>2822163.0</v>
      </c>
      <c r="C1898" s="16" t="s">
        <v>1737</v>
      </c>
      <c r="D1898" s="12" t="s">
        <v>26</v>
      </c>
      <c r="E1898" s="13" t="s">
        <v>26</v>
      </c>
      <c r="F1898" s="14">
        <v>0.02474537037037037</v>
      </c>
      <c r="G1898" s="21"/>
    </row>
    <row r="1899">
      <c r="A1899" s="4" t="s">
        <v>1712</v>
      </c>
      <c r="B1899" s="10">
        <v>2887218.0</v>
      </c>
      <c r="C1899" s="16" t="s">
        <v>97</v>
      </c>
      <c r="D1899" s="12" t="s">
        <v>26</v>
      </c>
      <c r="E1899" s="13" t="s">
        <v>26</v>
      </c>
      <c r="F1899" s="14">
        <v>0.028009259259259258</v>
      </c>
      <c r="G1899" s="21"/>
    </row>
    <row r="1900">
      <c r="A1900" s="4" t="s">
        <v>1712</v>
      </c>
      <c r="B1900" s="10">
        <v>2823559.0</v>
      </c>
      <c r="C1900" s="16" t="s">
        <v>870</v>
      </c>
      <c r="D1900" s="12" t="s">
        <v>26</v>
      </c>
      <c r="E1900" s="13" t="s">
        <v>15</v>
      </c>
      <c r="F1900" s="14">
        <v>0.015671296296296298</v>
      </c>
      <c r="G1900" s="21"/>
    </row>
    <row r="1901">
      <c r="A1901" s="4" t="s">
        <v>1712</v>
      </c>
      <c r="B1901" s="10">
        <v>718627.0</v>
      </c>
      <c r="C1901" s="16" t="s">
        <v>223</v>
      </c>
      <c r="D1901" s="12" t="s">
        <v>26</v>
      </c>
      <c r="E1901" s="13" t="s">
        <v>15</v>
      </c>
      <c r="F1901" s="14">
        <v>0.051597222222222225</v>
      </c>
      <c r="G1901" s="21"/>
    </row>
    <row r="1902">
      <c r="A1902" s="4" t="s">
        <v>1712</v>
      </c>
      <c r="B1902" s="10">
        <v>808667.0</v>
      </c>
      <c r="C1902" s="16" t="s">
        <v>1379</v>
      </c>
      <c r="D1902" s="12" t="s">
        <v>26</v>
      </c>
      <c r="E1902" s="13" t="s">
        <v>15</v>
      </c>
      <c r="F1902" s="14">
        <v>0.04760416666666667</v>
      </c>
      <c r="G1902" s="21"/>
    </row>
    <row r="1903">
      <c r="A1903" s="4" t="s">
        <v>1348</v>
      </c>
      <c r="B1903" s="5" t="s">
        <v>8</v>
      </c>
      <c r="C1903" s="6" t="s">
        <v>9</v>
      </c>
      <c r="D1903" s="7" t="s">
        <v>3</v>
      </c>
      <c r="E1903" s="7" t="s">
        <v>10</v>
      </c>
      <c r="F1903" s="8" t="s">
        <v>11</v>
      </c>
      <c r="G1903" s="9" t="s">
        <v>12</v>
      </c>
    </row>
    <row r="1904">
      <c r="A1904" s="23" t="s">
        <v>1348</v>
      </c>
      <c r="B1904" s="24">
        <v>564547.0</v>
      </c>
      <c r="C1904" s="25" t="s">
        <v>1738</v>
      </c>
      <c r="D1904" s="26" t="s">
        <v>14</v>
      </c>
      <c r="E1904" s="27" t="s">
        <v>26</v>
      </c>
      <c r="F1904" s="28">
        <v>0.030601851851851852</v>
      </c>
      <c r="G1904" s="17" t="s">
        <v>1345</v>
      </c>
    </row>
    <row r="1905">
      <c r="A1905" s="4" t="s">
        <v>1348</v>
      </c>
      <c r="B1905" s="10">
        <v>624208.0</v>
      </c>
      <c r="C1905" s="16" t="s">
        <v>1716</v>
      </c>
      <c r="D1905" s="12" t="s">
        <v>18</v>
      </c>
      <c r="E1905" s="13" t="s">
        <v>109</v>
      </c>
      <c r="F1905" s="14">
        <v>0.039907407407407405</v>
      </c>
      <c r="G1905" s="17" t="s">
        <v>233</v>
      </c>
    </row>
    <row r="1906">
      <c r="A1906" s="4" t="s">
        <v>1348</v>
      </c>
      <c r="B1906" s="10">
        <v>2812491.0</v>
      </c>
      <c r="C1906" s="16" t="s">
        <v>1739</v>
      </c>
      <c r="D1906" s="12" t="s">
        <v>18</v>
      </c>
      <c r="E1906" s="13" t="s">
        <v>109</v>
      </c>
      <c r="F1906" s="14">
        <v>0.04090277777777778</v>
      </c>
      <c r="G1906" s="17" t="s">
        <v>1347</v>
      </c>
    </row>
    <row r="1907">
      <c r="A1907" s="4" t="s">
        <v>1348</v>
      </c>
      <c r="B1907" s="10">
        <v>536419.0</v>
      </c>
      <c r="C1907" s="16" t="s">
        <v>1348</v>
      </c>
      <c r="D1907" s="12" t="s">
        <v>18</v>
      </c>
      <c r="E1907" s="13" t="s">
        <v>38</v>
      </c>
      <c r="F1907" s="14">
        <v>0.02732638888888889</v>
      </c>
      <c r="G1907" s="17" t="s">
        <v>1008</v>
      </c>
    </row>
    <row r="1908">
      <c r="A1908" s="4" t="s">
        <v>1348</v>
      </c>
      <c r="B1908" s="10">
        <v>661748.0</v>
      </c>
      <c r="C1908" s="16" t="s">
        <v>172</v>
      </c>
      <c r="D1908" s="12" t="s">
        <v>18</v>
      </c>
      <c r="E1908" s="13" t="s">
        <v>19</v>
      </c>
      <c r="F1908" s="14">
        <v>0.03037037037037037</v>
      </c>
      <c r="G1908" s="17" t="s">
        <v>167</v>
      </c>
    </row>
    <row r="1909">
      <c r="A1909" s="4" t="s">
        <v>1348</v>
      </c>
      <c r="B1909" s="10">
        <v>700792.0</v>
      </c>
      <c r="C1909" s="16" t="s">
        <v>234</v>
      </c>
      <c r="D1909" s="12" t="s">
        <v>18</v>
      </c>
      <c r="E1909" s="13" t="s">
        <v>15</v>
      </c>
      <c r="F1909" s="14">
        <v>0.025138888888888888</v>
      </c>
      <c r="G1909" s="17" t="s">
        <v>169</v>
      </c>
    </row>
    <row r="1910">
      <c r="A1910" s="4" t="s">
        <v>1348</v>
      </c>
      <c r="B1910" s="10">
        <v>756286.0</v>
      </c>
      <c r="C1910" s="16" t="s">
        <v>1002</v>
      </c>
      <c r="D1910" s="12" t="s">
        <v>18</v>
      </c>
      <c r="E1910" s="13" t="s">
        <v>15</v>
      </c>
      <c r="F1910" s="14">
        <v>0.03916666666666667</v>
      </c>
      <c r="G1910" s="17" t="s">
        <v>1740</v>
      </c>
    </row>
    <row r="1911">
      <c r="A1911" s="4" t="s">
        <v>1348</v>
      </c>
      <c r="B1911" s="10">
        <v>2881199.0</v>
      </c>
      <c r="C1911" s="16" t="s">
        <v>1007</v>
      </c>
      <c r="D1911" s="12" t="s">
        <v>18</v>
      </c>
      <c r="E1911" s="13" t="s">
        <v>15</v>
      </c>
      <c r="F1911" s="14">
        <v>0.029502314814814815</v>
      </c>
      <c r="G1911" s="21"/>
    </row>
    <row r="1912">
      <c r="A1912" s="4" t="s">
        <v>1348</v>
      </c>
      <c r="B1912" s="10">
        <v>2895002.0</v>
      </c>
      <c r="C1912" s="11" t="s">
        <v>1022</v>
      </c>
      <c r="D1912" s="12" t="s">
        <v>34</v>
      </c>
      <c r="E1912" s="13" t="s">
        <v>109</v>
      </c>
      <c r="F1912" s="14">
        <v>0.015289351851851853</v>
      </c>
      <c r="G1912" s="21"/>
    </row>
    <row r="1913">
      <c r="A1913" s="4" t="s">
        <v>1348</v>
      </c>
      <c r="B1913" s="10">
        <v>456353.0</v>
      </c>
      <c r="C1913" s="16" t="s">
        <v>175</v>
      </c>
      <c r="D1913" s="12" t="s">
        <v>34</v>
      </c>
      <c r="E1913" s="13" t="s">
        <v>38</v>
      </c>
      <c r="F1913" s="14">
        <v>0.03857638888888889</v>
      </c>
      <c r="G1913" s="21"/>
    </row>
    <row r="1914">
      <c r="A1914" s="4" t="s">
        <v>1348</v>
      </c>
      <c r="B1914" s="10">
        <v>2876075.0</v>
      </c>
      <c r="C1914" s="16" t="s">
        <v>1721</v>
      </c>
      <c r="D1914" s="12" t="s">
        <v>34</v>
      </c>
      <c r="E1914" s="13" t="s">
        <v>38</v>
      </c>
      <c r="F1914" s="14">
        <v>0.033935185185185186</v>
      </c>
      <c r="G1914" s="17"/>
    </row>
    <row r="1915">
      <c r="A1915" s="4" t="s">
        <v>1348</v>
      </c>
      <c r="B1915" s="10">
        <v>2880017.0</v>
      </c>
      <c r="C1915" s="16" t="s">
        <v>1355</v>
      </c>
      <c r="D1915" s="12" t="s">
        <v>34</v>
      </c>
      <c r="E1915" s="13" t="s">
        <v>38</v>
      </c>
      <c r="F1915" s="14">
        <v>0.026539351851851852</v>
      </c>
      <c r="G1915" s="17"/>
    </row>
    <row r="1916">
      <c r="A1916" s="4" t="s">
        <v>1348</v>
      </c>
      <c r="B1916" s="10">
        <v>2882010.0</v>
      </c>
      <c r="C1916" s="16" t="s">
        <v>1741</v>
      </c>
      <c r="D1916" s="12" t="s">
        <v>34</v>
      </c>
      <c r="E1916" s="13" t="s">
        <v>19</v>
      </c>
      <c r="F1916" s="14">
        <v>0.04465277777777778</v>
      </c>
      <c r="G1916" s="17"/>
    </row>
    <row r="1917">
      <c r="A1917" s="4" t="s">
        <v>1348</v>
      </c>
      <c r="B1917" s="10">
        <v>5015864.0</v>
      </c>
      <c r="C1917" s="16" t="s">
        <v>1742</v>
      </c>
      <c r="D1917" s="12" t="s">
        <v>34</v>
      </c>
      <c r="E1917" s="13" t="s">
        <v>19</v>
      </c>
      <c r="F1917" s="14">
        <v>0.019699074074074074</v>
      </c>
      <c r="G1917" s="17"/>
    </row>
    <row r="1918">
      <c r="A1918" s="4" t="s">
        <v>1348</v>
      </c>
      <c r="B1918" s="10">
        <v>5015865.0</v>
      </c>
      <c r="C1918" s="16" t="s">
        <v>1358</v>
      </c>
      <c r="D1918" s="12" t="s">
        <v>34</v>
      </c>
      <c r="E1918" s="13" t="s">
        <v>19</v>
      </c>
      <c r="F1918" s="14">
        <v>0.01369212962962963</v>
      </c>
      <c r="G1918" s="17"/>
    </row>
    <row r="1919">
      <c r="A1919" s="4" t="s">
        <v>1348</v>
      </c>
      <c r="B1919" s="10">
        <v>5034159.0</v>
      </c>
      <c r="C1919" s="16" t="s">
        <v>1014</v>
      </c>
      <c r="D1919" s="12" t="s">
        <v>34</v>
      </c>
      <c r="E1919" s="13" t="s">
        <v>19</v>
      </c>
      <c r="F1919" s="14">
        <v>0.027685185185185184</v>
      </c>
      <c r="G1919" s="17"/>
    </row>
    <row r="1920">
      <c r="A1920" s="4" t="s">
        <v>1348</v>
      </c>
      <c r="B1920" s="10">
        <v>802842.0</v>
      </c>
      <c r="C1920" s="16" t="s">
        <v>183</v>
      </c>
      <c r="D1920" s="12" t="s">
        <v>34</v>
      </c>
      <c r="E1920" s="13" t="s">
        <v>19</v>
      </c>
      <c r="F1920" s="14">
        <v>0.03754629629629629</v>
      </c>
      <c r="G1920" s="21"/>
    </row>
    <row r="1921">
      <c r="A1921" s="4" t="s">
        <v>1348</v>
      </c>
      <c r="B1921" s="10">
        <v>5028615.0</v>
      </c>
      <c r="C1921" s="16" t="s">
        <v>184</v>
      </c>
      <c r="D1921" s="12" t="s">
        <v>34</v>
      </c>
      <c r="E1921" s="13" t="s">
        <v>19</v>
      </c>
      <c r="F1921" s="14">
        <v>0.039050925925925926</v>
      </c>
      <c r="G1921" s="21"/>
    </row>
    <row r="1922">
      <c r="A1922" s="4" t="s">
        <v>1348</v>
      </c>
      <c r="B1922" s="10">
        <v>688508.0</v>
      </c>
      <c r="C1922" s="16" t="s">
        <v>185</v>
      </c>
      <c r="D1922" s="12" t="s">
        <v>34</v>
      </c>
      <c r="E1922" s="13" t="s">
        <v>19</v>
      </c>
      <c r="F1922" s="14">
        <v>0.032337962962962964</v>
      </c>
      <c r="G1922" s="21"/>
    </row>
    <row r="1923">
      <c r="A1923" s="4" t="s">
        <v>1348</v>
      </c>
      <c r="B1923" s="10">
        <v>693069.0</v>
      </c>
      <c r="C1923" s="16" t="s">
        <v>1365</v>
      </c>
      <c r="D1923" s="12" t="s">
        <v>34</v>
      </c>
      <c r="E1923" s="13" t="s">
        <v>26</v>
      </c>
      <c r="F1923" s="14">
        <v>0.024212962962962964</v>
      </c>
      <c r="G1923" s="21"/>
    </row>
    <row r="1924">
      <c r="A1924" s="4" t="s">
        <v>1348</v>
      </c>
      <c r="B1924" s="10">
        <v>2367363.0</v>
      </c>
      <c r="C1924" s="16" t="s">
        <v>1743</v>
      </c>
      <c r="D1924" s="12" t="s">
        <v>34</v>
      </c>
      <c r="E1924" s="13" t="s">
        <v>26</v>
      </c>
      <c r="F1924" s="14">
        <v>0.05240740740740741</v>
      </c>
      <c r="G1924" s="21"/>
    </row>
    <row r="1925">
      <c r="A1925" s="4" t="s">
        <v>1348</v>
      </c>
      <c r="B1925" s="10">
        <v>2424655.0</v>
      </c>
      <c r="C1925" s="16" t="s">
        <v>1021</v>
      </c>
      <c r="D1925" s="12" t="s">
        <v>34</v>
      </c>
      <c r="E1925" s="13" t="s">
        <v>15</v>
      </c>
      <c r="F1925" s="14">
        <v>0.05319444444444445</v>
      </c>
      <c r="G1925" s="21"/>
    </row>
    <row r="1926">
      <c r="A1926" s="4" t="s">
        <v>1348</v>
      </c>
      <c r="B1926" s="10">
        <v>2833052.0</v>
      </c>
      <c r="C1926" s="16" t="s">
        <v>1744</v>
      </c>
      <c r="D1926" s="12" t="s">
        <v>34</v>
      </c>
      <c r="E1926" s="13" t="s">
        <v>15</v>
      </c>
      <c r="F1926" s="14">
        <v>0.025578703703703704</v>
      </c>
      <c r="G1926" s="21"/>
    </row>
    <row r="1927">
      <c r="A1927" s="4" t="s">
        <v>1348</v>
      </c>
      <c r="B1927" s="10">
        <v>645011.0</v>
      </c>
      <c r="C1927" s="16" t="s">
        <v>1367</v>
      </c>
      <c r="D1927" s="12" t="s">
        <v>34</v>
      </c>
      <c r="E1927" s="13" t="s">
        <v>15</v>
      </c>
      <c r="F1927" s="14">
        <v>0.032824074074074075</v>
      </c>
      <c r="G1927" s="21"/>
    </row>
    <row r="1928">
      <c r="A1928" s="4" t="s">
        <v>1348</v>
      </c>
      <c r="B1928" s="10">
        <v>592488.0</v>
      </c>
      <c r="C1928" s="16" t="s">
        <v>1724</v>
      </c>
      <c r="D1928" s="12" t="s">
        <v>34</v>
      </c>
      <c r="E1928" s="13" t="s">
        <v>15</v>
      </c>
      <c r="F1928" s="14">
        <v>0.04165509259259259</v>
      </c>
      <c r="G1928" s="21"/>
    </row>
    <row r="1929">
      <c r="A1929" s="4" t="s">
        <v>1348</v>
      </c>
      <c r="B1929" s="10">
        <v>746305.0</v>
      </c>
      <c r="C1929" s="16" t="s">
        <v>407</v>
      </c>
      <c r="D1929" s="12" t="s">
        <v>34</v>
      </c>
      <c r="E1929" s="13" t="s">
        <v>15</v>
      </c>
      <c r="F1929" s="14">
        <v>0.04052083333333333</v>
      </c>
      <c r="G1929" s="21"/>
    </row>
    <row r="1930">
      <c r="A1930" s="4" t="s">
        <v>1348</v>
      </c>
      <c r="B1930" s="10">
        <v>3013243.0</v>
      </c>
      <c r="C1930" s="16" t="s">
        <v>1020</v>
      </c>
      <c r="D1930" s="12" t="s">
        <v>34</v>
      </c>
      <c r="E1930" s="13" t="s">
        <v>15</v>
      </c>
      <c r="F1930" s="14">
        <v>0.024814814814814814</v>
      </c>
      <c r="G1930" s="21"/>
    </row>
    <row r="1931">
      <c r="A1931" s="4" t="s">
        <v>1348</v>
      </c>
      <c r="B1931" s="10">
        <v>2897423.0</v>
      </c>
      <c r="C1931" s="16" t="s">
        <v>1745</v>
      </c>
      <c r="D1931" s="12" t="s">
        <v>34</v>
      </c>
      <c r="E1931" s="13" t="s">
        <v>15</v>
      </c>
      <c r="F1931" s="14">
        <v>0.04086805555555555</v>
      </c>
      <c r="G1931" s="21"/>
    </row>
    <row r="1932">
      <c r="A1932" s="4" t="s">
        <v>1348</v>
      </c>
      <c r="B1932" s="10">
        <v>2823247.0</v>
      </c>
      <c r="C1932" s="16" t="s">
        <v>1382</v>
      </c>
      <c r="D1932" s="12" t="s">
        <v>26</v>
      </c>
      <c r="E1932" s="13" t="s">
        <v>109</v>
      </c>
      <c r="F1932" s="14">
        <v>0.032581018518518516</v>
      </c>
      <c r="G1932" s="21"/>
    </row>
    <row r="1933">
      <c r="A1933" s="4" t="s">
        <v>1348</v>
      </c>
      <c r="B1933" s="10">
        <v>2823138.0</v>
      </c>
      <c r="C1933" s="16" t="s">
        <v>1033</v>
      </c>
      <c r="D1933" s="12" t="s">
        <v>26</v>
      </c>
      <c r="E1933" s="13" t="s">
        <v>38</v>
      </c>
      <c r="F1933" s="14">
        <v>0.050763888888888886</v>
      </c>
      <c r="G1933" s="21"/>
    </row>
    <row r="1934">
      <c r="A1934" s="4" t="s">
        <v>1348</v>
      </c>
      <c r="B1934" s="10">
        <v>647657.0</v>
      </c>
      <c r="C1934" s="16" t="s">
        <v>216</v>
      </c>
      <c r="D1934" s="12" t="s">
        <v>26</v>
      </c>
      <c r="E1934" s="13" t="s">
        <v>26</v>
      </c>
      <c r="F1934" s="14">
        <v>0.027175925925925926</v>
      </c>
      <c r="G1934" s="21"/>
    </row>
    <row r="1935">
      <c r="A1935" s="4" t="s">
        <v>1348</v>
      </c>
      <c r="B1935" s="10">
        <v>3006178.0</v>
      </c>
      <c r="C1935" s="16" t="s">
        <v>1746</v>
      </c>
      <c r="D1935" s="12" t="s">
        <v>26</v>
      </c>
      <c r="E1935" s="13" t="s">
        <v>26</v>
      </c>
      <c r="F1935" s="14">
        <v>0.014861111111111111</v>
      </c>
      <c r="G1935" s="21"/>
    </row>
    <row r="1936">
      <c r="A1936" s="4" t="s">
        <v>1348</v>
      </c>
      <c r="B1936" s="10">
        <v>808667.0</v>
      </c>
      <c r="C1936" s="16" t="s">
        <v>1379</v>
      </c>
      <c r="D1936" s="12" t="s">
        <v>26</v>
      </c>
      <c r="E1936" s="13" t="s">
        <v>15</v>
      </c>
      <c r="F1936" s="14">
        <v>0.04760416666666667</v>
      </c>
      <c r="G1936" s="21"/>
    </row>
    <row r="1937">
      <c r="A1937" s="4" t="s">
        <v>1348</v>
      </c>
      <c r="B1937" s="10">
        <v>769279.0</v>
      </c>
      <c r="C1937" s="16" t="s">
        <v>1048</v>
      </c>
      <c r="D1937" s="12" t="s">
        <v>26</v>
      </c>
      <c r="E1937" s="13" t="s">
        <v>15</v>
      </c>
      <c r="F1937" s="14">
        <v>0.03405092592592593</v>
      </c>
      <c r="G1937" s="21"/>
    </row>
    <row r="1938">
      <c r="A1938" s="4" t="s">
        <v>1348</v>
      </c>
      <c r="B1938" s="10">
        <v>2228265.0</v>
      </c>
      <c r="C1938" s="16" t="s">
        <v>1053</v>
      </c>
      <c r="D1938" s="12" t="s">
        <v>26</v>
      </c>
      <c r="E1938" s="13" t="s">
        <v>15</v>
      </c>
      <c r="F1938" s="14">
        <v>0.05399305555555556</v>
      </c>
      <c r="G1938" s="21"/>
    </row>
    <row r="1939">
      <c r="A1939" s="4" t="s">
        <v>1348</v>
      </c>
      <c r="B1939" s="10">
        <v>2825499.0</v>
      </c>
      <c r="C1939" s="16" t="s">
        <v>1335</v>
      </c>
      <c r="D1939" s="12" t="s">
        <v>26</v>
      </c>
      <c r="E1939" s="13" t="s">
        <v>15</v>
      </c>
      <c r="F1939" s="14">
        <v>0.05576388888888889</v>
      </c>
      <c r="G1939" s="21"/>
    </row>
    <row r="1940">
      <c r="A1940" s="4" t="s">
        <v>1348</v>
      </c>
      <c r="B1940" s="10">
        <v>2832050.0</v>
      </c>
      <c r="C1940" s="16" t="s">
        <v>1059</v>
      </c>
      <c r="D1940" s="12" t="s">
        <v>26</v>
      </c>
      <c r="E1940" s="13" t="s">
        <v>15</v>
      </c>
      <c r="F1940" s="14">
        <v>0.04538194444444445</v>
      </c>
      <c r="G1940" s="21"/>
    </row>
    <row r="1941">
      <c r="A1941" s="4" t="s">
        <v>1348</v>
      </c>
      <c r="B1941" s="10">
        <v>2823546.0</v>
      </c>
      <c r="C1941" s="16" t="s">
        <v>1057</v>
      </c>
      <c r="D1941" s="12" t="s">
        <v>26</v>
      </c>
      <c r="E1941" s="13" t="s">
        <v>15</v>
      </c>
      <c r="F1941" s="14">
        <v>0.026018518518518517</v>
      </c>
      <c r="G1941" s="21"/>
    </row>
    <row r="1942">
      <c r="A1942" s="4" t="s">
        <v>1747</v>
      </c>
      <c r="B1942" s="5" t="s">
        <v>8</v>
      </c>
      <c r="C1942" s="6" t="s">
        <v>9</v>
      </c>
      <c r="D1942" s="7" t="s">
        <v>3</v>
      </c>
      <c r="E1942" s="7" t="s">
        <v>10</v>
      </c>
      <c r="F1942" s="8" t="s">
        <v>11</v>
      </c>
      <c r="G1942" s="9" t="s">
        <v>12</v>
      </c>
    </row>
    <row r="1943">
      <c r="A1943" s="4" t="s">
        <v>1747</v>
      </c>
      <c r="B1943" s="10">
        <v>373562.0</v>
      </c>
      <c r="C1943" s="16" t="s">
        <v>1674</v>
      </c>
      <c r="D1943" s="12" t="s">
        <v>14</v>
      </c>
      <c r="E1943" s="13" t="s">
        <v>109</v>
      </c>
      <c r="F1943" s="14">
        <v>0.04857638888888889</v>
      </c>
      <c r="G1943" s="15" t="s">
        <v>233</v>
      </c>
    </row>
    <row r="1944">
      <c r="A1944" s="4" t="s">
        <v>1747</v>
      </c>
      <c r="B1944" s="10">
        <v>706917.0</v>
      </c>
      <c r="C1944" s="16" t="s">
        <v>1748</v>
      </c>
      <c r="D1944" s="12" t="s">
        <v>14</v>
      </c>
      <c r="E1944" s="13" t="s">
        <v>109</v>
      </c>
      <c r="F1944" s="14">
        <v>0.053634259259259257</v>
      </c>
      <c r="G1944" s="15" t="s">
        <v>1229</v>
      </c>
    </row>
    <row r="1945">
      <c r="A1945" s="4" t="s">
        <v>1747</v>
      </c>
      <c r="B1945" s="10">
        <v>664805.0</v>
      </c>
      <c r="C1945" s="16" t="s">
        <v>117</v>
      </c>
      <c r="D1945" s="12" t="s">
        <v>14</v>
      </c>
      <c r="E1945" s="13" t="s">
        <v>15</v>
      </c>
      <c r="F1945" s="14">
        <v>0.03311342592592593</v>
      </c>
      <c r="G1945" s="29" t="s">
        <v>1001</v>
      </c>
    </row>
    <row r="1946">
      <c r="A1946" s="4" t="s">
        <v>1747</v>
      </c>
      <c r="B1946" s="10">
        <v>645013.0</v>
      </c>
      <c r="C1946" s="16" t="s">
        <v>230</v>
      </c>
      <c r="D1946" s="12" t="s">
        <v>14</v>
      </c>
      <c r="E1946" s="13" t="s">
        <v>15</v>
      </c>
      <c r="F1946" s="14">
        <v>0.04212962962962963</v>
      </c>
      <c r="G1946" s="15" t="s">
        <v>1749</v>
      </c>
    </row>
    <row r="1947">
      <c r="A1947" s="4" t="s">
        <v>1747</v>
      </c>
      <c r="B1947" s="10">
        <v>2426605.0</v>
      </c>
      <c r="C1947" s="16" t="s">
        <v>1239</v>
      </c>
      <c r="D1947" s="12" t="s">
        <v>18</v>
      </c>
      <c r="E1947" s="13" t="s">
        <v>38</v>
      </c>
      <c r="F1947" s="14">
        <v>0.008287037037037037</v>
      </c>
      <c r="G1947" s="15" t="s">
        <v>1717</v>
      </c>
    </row>
    <row r="1948">
      <c r="A1948" s="4" t="s">
        <v>1747</v>
      </c>
      <c r="B1948" s="10">
        <v>5028617.0</v>
      </c>
      <c r="C1948" s="16" t="s">
        <v>236</v>
      </c>
      <c r="D1948" s="12" t="s">
        <v>18</v>
      </c>
      <c r="E1948" s="13" t="s">
        <v>15</v>
      </c>
      <c r="F1948" s="14">
        <v>0.024733796296296295</v>
      </c>
      <c r="G1948" s="18" t="s">
        <v>302</v>
      </c>
    </row>
    <row r="1949">
      <c r="A1949" s="4" t="s">
        <v>1747</v>
      </c>
      <c r="B1949" s="10">
        <v>2252217.0</v>
      </c>
      <c r="C1949" s="16" t="s">
        <v>1719</v>
      </c>
      <c r="D1949" s="12" t="s">
        <v>18</v>
      </c>
      <c r="E1949" s="13" t="s">
        <v>15</v>
      </c>
      <c r="F1949" s="14">
        <v>0.029282407407407406</v>
      </c>
      <c r="G1949" s="15" t="s">
        <v>167</v>
      </c>
    </row>
    <row r="1950">
      <c r="A1950" s="4" t="s">
        <v>1747</v>
      </c>
      <c r="B1950" s="10">
        <v>5022331.0</v>
      </c>
      <c r="C1950" s="16" t="s">
        <v>1288</v>
      </c>
      <c r="D1950" s="12" t="s">
        <v>18</v>
      </c>
      <c r="E1950" s="13" t="s">
        <v>15</v>
      </c>
      <c r="F1950" s="14">
        <v>0.025925925925925925</v>
      </c>
      <c r="G1950" s="17" t="s">
        <v>1750</v>
      </c>
    </row>
    <row r="1951">
      <c r="A1951" s="4" t="s">
        <v>1747</v>
      </c>
      <c r="B1951" s="10">
        <v>2819137.0</v>
      </c>
      <c r="C1951" s="16" t="s">
        <v>1751</v>
      </c>
      <c r="D1951" s="12" t="s">
        <v>18</v>
      </c>
      <c r="E1951" s="13" t="s">
        <v>15</v>
      </c>
      <c r="F1951" s="14">
        <v>0.020787037037037038</v>
      </c>
      <c r="G1951" s="17" t="s">
        <v>1752</v>
      </c>
    </row>
    <row r="1952">
      <c r="A1952" s="4" t="s">
        <v>1747</v>
      </c>
      <c r="B1952" s="10">
        <v>2886218.0</v>
      </c>
      <c r="C1952" s="11" t="s">
        <v>1753</v>
      </c>
      <c r="D1952" s="12" t="s">
        <v>18</v>
      </c>
      <c r="E1952" s="13" t="s">
        <v>15</v>
      </c>
      <c r="F1952" s="14">
        <v>0.03540509259259259</v>
      </c>
      <c r="G1952" s="17" t="s">
        <v>1754</v>
      </c>
    </row>
    <row r="1953">
      <c r="A1953" s="4" t="s">
        <v>1747</v>
      </c>
      <c r="B1953" s="10">
        <v>3004558.0</v>
      </c>
      <c r="C1953" s="16" t="s">
        <v>1755</v>
      </c>
      <c r="D1953" s="12" t="s">
        <v>18</v>
      </c>
      <c r="E1953" s="13" t="s">
        <v>15</v>
      </c>
      <c r="F1953" s="14">
        <v>0.027962962962962964</v>
      </c>
      <c r="G1953" s="17" t="s">
        <v>1235</v>
      </c>
    </row>
    <row r="1954">
      <c r="A1954" s="4" t="s">
        <v>1747</v>
      </c>
      <c r="B1954" s="10">
        <v>2874004.0</v>
      </c>
      <c r="C1954" s="16" t="s">
        <v>1756</v>
      </c>
      <c r="D1954" s="12" t="s">
        <v>34</v>
      </c>
      <c r="E1954" s="13" t="s">
        <v>38</v>
      </c>
      <c r="F1954" s="14">
        <v>0.01980324074074074</v>
      </c>
      <c r="G1954" s="17" t="s">
        <v>1757</v>
      </c>
    </row>
    <row r="1955">
      <c r="A1955" s="4" t="s">
        <v>1747</v>
      </c>
      <c r="B1955" s="10">
        <v>797725.0</v>
      </c>
      <c r="C1955" s="16" t="s">
        <v>1758</v>
      </c>
      <c r="D1955" s="12" t="s">
        <v>34</v>
      </c>
      <c r="E1955" s="13" t="s">
        <v>38</v>
      </c>
      <c r="F1955" s="14">
        <v>0.026030092592592594</v>
      </c>
      <c r="G1955" s="15"/>
    </row>
    <row r="1956">
      <c r="A1956" s="4" t="s">
        <v>1747</v>
      </c>
      <c r="B1956" s="10">
        <v>2875338.0</v>
      </c>
      <c r="C1956" s="16" t="s">
        <v>1248</v>
      </c>
      <c r="D1956" s="12" t="s">
        <v>34</v>
      </c>
      <c r="E1956" s="13" t="s">
        <v>38</v>
      </c>
      <c r="F1956" s="14">
        <v>0.04016203703703704</v>
      </c>
      <c r="G1956" s="15"/>
    </row>
    <row r="1957">
      <c r="A1957" s="4" t="s">
        <v>1747</v>
      </c>
      <c r="B1957" s="10">
        <v>2873256.0</v>
      </c>
      <c r="C1957" s="16" t="s">
        <v>1110</v>
      </c>
      <c r="D1957" s="12" t="s">
        <v>34</v>
      </c>
      <c r="E1957" s="13" t="s">
        <v>38</v>
      </c>
      <c r="F1957" s="14">
        <v>0.04898148148148148</v>
      </c>
      <c r="G1957" s="18"/>
    </row>
    <row r="1958">
      <c r="A1958" s="4" t="s">
        <v>1747</v>
      </c>
      <c r="B1958" s="10">
        <v>3007799.0</v>
      </c>
      <c r="C1958" s="16" t="s">
        <v>1759</v>
      </c>
      <c r="D1958" s="12" t="s">
        <v>34</v>
      </c>
      <c r="E1958" s="13" t="s">
        <v>38</v>
      </c>
      <c r="F1958" s="14">
        <v>0.0471875</v>
      </c>
      <c r="G1958" s="15"/>
    </row>
    <row r="1959">
      <c r="A1959" s="4" t="s">
        <v>1747</v>
      </c>
      <c r="B1959" s="10">
        <v>2882010.0</v>
      </c>
      <c r="C1959" s="16" t="s">
        <v>1741</v>
      </c>
      <c r="D1959" s="12" t="s">
        <v>34</v>
      </c>
      <c r="E1959" s="13" t="s">
        <v>19</v>
      </c>
      <c r="F1959" s="14">
        <v>0.04465277777777778</v>
      </c>
      <c r="G1959" s="15"/>
    </row>
    <row r="1960">
      <c r="A1960" s="4" t="s">
        <v>1747</v>
      </c>
      <c r="B1960" s="10">
        <v>696328.0</v>
      </c>
      <c r="C1960" s="16" t="s">
        <v>1357</v>
      </c>
      <c r="D1960" s="12" t="s">
        <v>34</v>
      </c>
      <c r="E1960" s="13" t="s">
        <v>19</v>
      </c>
      <c r="F1960" s="14">
        <v>0.041747685185185186</v>
      </c>
      <c r="G1960" s="17"/>
    </row>
    <row r="1961">
      <c r="A1961" s="4" t="s">
        <v>1747</v>
      </c>
      <c r="B1961" s="10">
        <v>698662.0</v>
      </c>
      <c r="C1961" s="16" t="s">
        <v>1689</v>
      </c>
      <c r="D1961" s="12" t="s">
        <v>34</v>
      </c>
      <c r="E1961" s="13" t="s">
        <v>19</v>
      </c>
      <c r="F1961" s="14">
        <v>0.03914351851851852</v>
      </c>
      <c r="G1961" s="17"/>
    </row>
    <row r="1962">
      <c r="A1962" s="4" t="s">
        <v>1747</v>
      </c>
      <c r="B1962" s="10">
        <v>5038200.0</v>
      </c>
      <c r="C1962" s="16" t="s">
        <v>1366</v>
      </c>
      <c r="D1962" s="12" t="s">
        <v>34</v>
      </c>
      <c r="E1962" s="13" t="s">
        <v>26</v>
      </c>
      <c r="F1962" s="14">
        <v>0.022534722222222223</v>
      </c>
      <c r="G1962" s="17"/>
    </row>
    <row r="1963">
      <c r="A1963" s="4" t="s">
        <v>1747</v>
      </c>
      <c r="B1963" s="10">
        <v>784280.0</v>
      </c>
      <c r="C1963" s="16" t="s">
        <v>186</v>
      </c>
      <c r="D1963" s="12" t="s">
        <v>34</v>
      </c>
      <c r="E1963" s="13" t="s">
        <v>26</v>
      </c>
      <c r="F1963" s="14">
        <v>0.04173611111111111</v>
      </c>
      <c r="G1963" s="17"/>
    </row>
    <row r="1964">
      <c r="A1964" s="4" t="s">
        <v>1747</v>
      </c>
      <c r="B1964" s="10">
        <v>656779.0</v>
      </c>
      <c r="C1964" s="16" t="s">
        <v>193</v>
      </c>
      <c r="D1964" s="12" t="s">
        <v>34</v>
      </c>
      <c r="E1964" s="13" t="s">
        <v>15</v>
      </c>
      <c r="F1964" s="14">
        <v>0.056157407407407406</v>
      </c>
      <c r="G1964" s="17"/>
    </row>
    <row r="1965">
      <c r="A1965" s="4" t="s">
        <v>1747</v>
      </c>
      <c r="B1965" s="10">
        <v>647652.0</v>
      </c>
      <c r="C1965" s="16" t="s">
        <v>243</v>
      </c>
      <c r="D1965" s="12" t="s">
        <v>34</v>
      </c>
      <c r="E1965" s="13" t="s">
        <v>15</v>
      </c>
      <c r="F1965" s="14">
        <v>0.032164351851851854</v>
      </c>
      <c r="G1965" s="22"/>
    </row>
    <row r="1966">
      <c r="A1966" s="4" t="s">
        <v>1747</v>
      </c>
      <c r="B1966" s="10">
        <v>2878236.0</v>
      </c>
      <c r="C1966" s="16" t="s">
        <v>1018</v>
      </c>
      <c r="D1966" s="12" t="s">
        <v>34</v>
      </c>
      <c r="E1966" s="13" t="s">
        <v>15</v>
      </c>
      <c r="F1966" s="14">
        <v>0.04393518518518519</v>
      </c>
      <c r="G1966" s="22"/>
    </row>
    <row r="1967">
      <c r="A1967" s="4" t="s">
        <v>1747</v>
      </c>
      <c r="B1967" s="10">
        <v>2892004.0</v>
      </c>
      <c r="C1967" s="16" t="s">
        <v>1760</v>
      </c>
      <c r="D1967" s="12" t="s">
        <v>34</v>
      </c>
      <c r="E1967" s="13" t="s">
        <v>15</v>
      </c>
      <c r="F1967" s="14">
        <v>0.032094907407407405</v>
      </c>
      <c r="G1967" s="22"/>
    </row>
    <row r="1968">
      <c r="A1968" s="4" t="s">
        <v>1747</v>
      </c>
      <c r="B1968" s="10">
        <v>3004945.0</v>
      </c>
      <c r="C1968" s="16" t="s">
        <v>1761</v>
      </c>
      <c r="D1968" s="12" t="s">
        <v>34</v>
      </c>
      <c r="E1968" s="13" t="s">
        <v>15</v>
      </c>
      <c r="F1968" s="14">
        <v>0.035520833333333335</v>
      </c>
      <c r="G1968" s="22"/>
    </row>
    <row r="1969">
      <c r="A1969" s="4" t="s">
        <v>1747</v>
      </c>
      <c r="B1969" s="10">
        <v>2875305.0</v>
      </c>
      <c r="C1969" s="16" t="s">
        <v>1762</v>
      </c>
      <c r="D1969" s="12" t="s">
        <v>31</v>
      </c>
      <c r="E1969" s="13" t="s">
        <v>19</v>
      </c>
      <c r="F1969" s="14">
        <v>0.04915509259259259</v>
      </c>
      <c r="G1969" s="22"/>
    </row>
    <row r="1970">
      <c r="A1970" s="4" t="s">
        <v>1747</v>
      </c>
      <c r="B1970" s="10">
        <v>2825692.0</v>
      </c>
      <c r="C1970" s="16" t="s">
        <v>1603</v>
      </c>
      <c r="D1970" s="12" t="s">
        <v>31</v>
      </c>
      <c r="E1970" s="13" t="s">
        <v>15</v>
      </c>
      <c r="F1970" s="14">
        <v>0.03408564814814815</v>
      </c>
      <c r="G1970" s="21"/>
    </row>
    <row r="1971">
      <c r="A1971" s="4" t="s">
        <v>1747</v>
      </c>
      <c r="B1971" s="10">
        <v>2424408.0</v>
      </c>
      <c r="C1971" s="16" t="s">
        <v>841</v>
      </c>
      <c r="D1971" s="12" t="s">
        <v>31</v>
      </c>
      <c r="E1971" s="13" t="s">
        <v>15</v>
      </c>
      <c r="F1971" s="14">
        <v>0.03274305555555555</v>
      </c>
      <c r="G1971" s="21"/>
    </row>
    <row r="1972">
      <c r="A1972" s="4" t="s">
        <v>1747</v>
      </c>
      <c r="B1972" s="10">
        <v>2875147.0</v>
      </c>
      <c r="C1972" s="16" t="s">
        <v>325</v>
      </c>
      <c r="D1972" s="12" t="s">
        <v>31</v>
      </c>
      <c r="E1972" s="13" t="s">
        <v>26</v>
      </c>
      <c r="F1972" s="14">
        <v>0.03498842592592592</v>
      </c>
      <c r="G1972" s="21"/>
    </row>
    <row r="1973">
      <c r="A1973" s="4" t="s">
        <v>1747</v>
      </c>
      <c r="B1973" s="10">
        <v>2878007.0</v>
      </c>
      <c r="C1973" s="16" t="s">
        <v>1763</v>
      </c>
      <c r="D1973" s="12" t="s">
        <v>31</v>
      </c>
      <c r="E1973" s="13" t="s">
        <v>26</v>
      </c>
      <c r="F1973" s="14">
        <v>0.03340277777777778</v>
      </c>
      <c r="G1973" s="21"/>
    </row>
    <row r="1974">
      <c r="A1974" s="4" t="s">
        <v>1747</v>
      </c>
      <c r="B1974" s="10">
        <v>2886117.0</v>
      </c>
      <c r="C1974" s="16" t="s">
        <v>248</v>
      </c>
      <c r="D1974" s="12" t="s">
        <v>31</v>
      </c>
      <c r="E1974" s="13" t="s">
        <v>26</v>
      </c>
      <c r="F1974" s="14">
        <v>0.030578703703703705</v>
      </c>
      <c r="G1974" s="21"/>
    </row>
    <row r="1975">
      <c r="A1975" s="4" t="s">
        <v>1747</v>
      </c>
      <c r="B1975" s="10">
        <v>664811.0</v>
      </c>
      <c r="C1975" s="16" t="s">
        <v>1764</v>
      </c>
      <c r="D1975" s="12" t="s">
        <v>26</v>
      </c>
      <c r="E1975" s="13" t="s">
        <v>109</v>
      </c>
      <c r="F1975" s="14">
        <v>0.037002314814814814</v>
      </c>
      <c r="G1975" s="21"/>
    </row>
    <row r="1976">
      <c r="A1976" s="4" t="s">
        <v>1747</v>
      </c>
      <c r="B1976" s="10">
        <v>5022325.0</v>
      </c>
      <c r="C1976" s="16" t="s">
        <v>883</v>
      </c>
      <c r="D1976" s="12" t="s">
        <v>26</v>
      </c>
      <c r="E1976" s="13" t="s">
        <v>109</v>
      </c>
      <c r="F1976" s="14">
        <v>0.044537037037037035</v>
      </c>
      <c r="G1976" s="21"/>
    </row>
    <row r="1977">
      <c r="A1977" s="4" t="s">
        <v>1747</v>
      </c>
      <c r="B1977" s="10">
        <v>2877283.0</v>
      </c>
      <c r="C1977" s="16" t="s">
        <v>1255</v>
      </c>
      <c r="D1977" s="12" t="s">
        <v>26</v>
      </c>
      <c r="E1977" s="13" t="s">
        <v>38</v>
      </c>
      <c r="F1977" s="14">
        <v>0.013217592592592593</v>
      </c>
      <c r="G1977" s="21"/>
    </row>
    <row r="1978">
      <c r="A1978" s="4" t="s">
        <v>1747</v>
      </c>
      <c r="B1978" s="10">
        <v>2837225.0</v>
      </c>
      <c r="C1978" s="16" t="s">
        <v>1765</v>
      </c>
      <c r="D1978" s="12" t="s">
        <v>26</v>
      </c>
      <c r="E1978" s="13" t="s">
        <v>38</v>
      </c>
      <c r="F1978" s="14">
        <v>0.01357638888888889</v>
      </c>
      <c r="G1978" s="21"/>
    </row>
    <row r="1979">
      <c r="A1979" s="4" t="s">
        <v>1747</v>
      </c>
      <c r="B1979" s="10">
        <v>2819028.0</v>
      </c>
      <c r="C1979" s="16" t="s">
        <v>1766</v>
      </c>
      <c r="D1979" s="12" t="s">
        <v>26</v>
      </c>
      <c r="E1979" s="13" t="s">
        <v>38</v>
      </c>
      <c r="F1979" s="14">
        <v>0.032858796296296296</v>
      </c>
      <c r="G1979" s="21"/>
    </row>
    <row r="1980">
      <c r="A1980" s="4" t="s">
        <v>1747</v>
      </c>
      <c r="B1980" s="10">
        <v>794118.0</v>
      </c>
      <c r="C1980" s="16" t="s">
        <v>1030</v>
      </c>
      <c r="D1980" s="12" t="s">
        <v>26</v>
      </c>
      <c r="E1980" s="13" t="s">
        <v>38</v>
      </c>
      <c r="F1980" s="14">
        <v>0.03491898148148148</v>
      </c>
      <c r="G1980" s="21"/>
    </row>
    <row r="1981">
      <c r="A1981" s="4" t="s">
        <v>1747</v>
      </c>
      <c r="B1981" s="10">
        <v>2807859.0</v>
      </c>
      <c r="C1981" s="16" t="s">
        <v>332</v>
      </c>
      <c r="D1981" s="12" t="s">
        <v>26</v>
      </c>
      <c r="E1981" s="13" t="s">
        <v>38</v>
      </c>
      <c r="F1981" s="14">
        <v>0.01778935185185185</v>
      </c>
      <c r="G1981" s="21"/>
    </row>
    <row r="1982">
      <c r="A1982" s="4" t="s">
        <v>1747</v>
      </c>
      <c r="B1982" s="10">
        <v>2810166.0</v>
      </c>
      <c r="C1982" s="16" t="s">
        <v>1252</v>
      </c>
      <c r="D1982" s="12" t="s">
        <v>26</v>
      </c>
      <c r="E1982" s="13" t="s">
        <v>38</v>
      </c>
      <c r="F1982" s="14">
        <v>0.015532407407407408</v>
      </c>
      <c r="G1982" s="21"/>
    </row>
    <row r="1983">
      <c r="A1983" s="4" t="s">
        <v>1747</v>
      </c>
      <c r="B1983" s="10">
        <v>765323.0</v>
      </c>
      <c r="C1983" s="16" t="s">
        <v>1767</v>
      </c>
      <c r="D1983" s="12" t="s">
        <v>26</v>
      </c>
      <c r="E1983" s="13" t="s">
        <v>38</v>
      </c>
      <c r="F1983" s="14">
        <v>0.033587962962962965</v>
      </c>
      <c r="G1983" s="21"/>
    </row>
    <row r="1984">
      <c r="A1984" s="4" t="s">
        <v>1747</v>
      </c>
      <c r="B1984" s="10">
        <v>797726.0</v>
      </c>
      <c r="C1984" s="16" t="s">
        <v>1768</v>
      </c>
      <c r="D1984" s="12" t="s">
        <v>26</v>
      </c>
      <c r="E1984" s="13" t="s">
        <v>38</v>
      </c>
      <c r="F1984" s="14">
        <v>0.035659722222222225</v>
      </c>
      <c r="G1984" s="21"/>
    </row>
    <row r="1985">
      <c r="A1985" s="4" t="s">
        <v>1747</v>
      </c>
      <c r="B1985" s="10">
        <v>2812492.0</v>
      </c>
      <c r="C1985" s="16" t="s">
        <v>1769</v>
      </c>
      <c r="D1985" s="12" t="s">
        <v>26</v>
      </c>
      <c r="E1985" s="13" t="s">
        <v>38</v>
      </c>
      <c r="F1985" s="14">
        <v>0.02224537037037037</v>
      </c>
      <c r="G1985" s="21"/>
    </row>
    <row r="1986">
      <c r="A1986" s="4" t="s">
        <v>1747</v>
      </c>
      <c r="B1986" s="10">
        <v>2811024.0</v>
      </c>
      <c r="C1986" s="16" t="s">
        <v>1770</v>
      </c>
      <c r="D1986" s="12" t="s">
        <v>26</v>
      </c>
      <c r="E1986" s="13" t="s">
        <v>38</v>
      </c>
      <c r="F1986" s="14">
        <v>0.009780092592592592</v>
      </c>
      <c r="G1986" s="21"/>
    </row>
    <row r="1987">
      <c r="A1987" s="4" t="s">
        <v>1747</v>
      </c>
      <c r="B1987" s="10">
        <v>2805907.0</v>
      </c>
      <c r="C1987" s="16" t="s">
        <v>330</v>
      </c>
      <c r="D1987" s="12" t="s">
        <v>26</v>
      </c>
      <c r="E1987" s="13" t="s">
        <v>38</v>
      </c>
      <c r="F1987" s="14">
        <v>0.00949074074074074</v>
      </c>
      <c r="G1987" s="21"/>
    </row>
    <row r="1988">
      <c r="A1988" s="4" t="s">
        <v>1747</v>
      </c>
      <c r="B1988" s="10">
        <v>2807858.0</v>
      </c>
      <c r="C1988" s="16" t="s">
        <v>331</v>
      </c>
      <c r="D1988" s="12" t="s">
        <v>26</v>
      </c>
      <c r="E1988" s="13" t="s">
        <v>38</v>
      </c>
      <c r="F1988" s="14">
        <v>0.011689814814814814</v>
      </c>
      <c r="G1988" s="21"/>
    </row>
    <row r="1989">
      <c r="A1989" s="4" t="s">
        <v>1747</v>
      </c>
      <c r="B1989" s="10">
        <v>2808545.0</v>
      </c>
      <c r="C1989" s="16" t="s">
        <v>259</v>
      </c>
      <c r="D1989" s="12" t="s">
        <v>26</v>
      </c>
      <c r="E1989" s="13" t="s">
        <v>38</v>
      </c>
      <c r="F1989" s="14">
        <v>0.013726851851851851</v>
      </c>
      <c r="G1989" s="21"/>
    </row>
    <row r="1990">
      <c r="A1990" s="4" t="s">
        <v>1747</v>
      </c>
      <c r="B1990" s="10">
        <v>2825335.0</v>
      </c>
      <c r="C1990" s="16" t="s">
        <v>1771</v>
      </c>
      <c r="D1990" s="12" t="s">
        <v>26</v>
      </c>
      <c r="E1990" s="13" t="s">
        <v>38</v>
      </c>
      <c r="F1990" s="14">
        <v>0.01480324074074074</v>
      </c>
      <c r="G1990" s="21"/>
    </row>
    <row r="1991">
      <c r="A1991" s="4" t="s">
        <v>1747</v>
      </c>
      <c r="B1991" s="10">
        <v>2813256.0</v>
      </c>
      <c r="C1991" s="16" t="s">
        <v>1031</v>
      </c>
      <c r="D1991" s="12" t="s">
        <v>26</v>
      </c>
      <c r="E1991" s="13" t="s">
        <v>38</v>
      </c>
      <c r="F1991" s="14">
        <v>0.026412037037037036</v>
      </c>
      <c r="G1991" s="21"/>
    </row>
    <row r="1992">
      <c r="A1992" s="4" t="s">
        <v>1747</v>
      </c>
      <c r="B1992" s="10">
        <v>2841554.0</v>
      </c>
      <c r="C1992" s="16" t="s">
        <v>1034</v>
      </c>
      <c r="D1992" s="12" t="s">
        <v>26</v>
      </c>
      <c r="E1992" s="13" t="s">
        <v>38</v>
      </c>
      <c r="F1992" s="14">
        <v>0.02634259259259259</v>
      </c>
      <c r="G1992" s="21"/>
    </row>
    <row r="1993">
      <c r="A1993" s="4" t="s">
        <v>1747</v>
      </c>
      <c r="B1993" s="10">
        <v>2818142.0</v>
      </c>
      <c r="C1993" s="16" t="s">
        <v>1772</v>
      </c>
      <c r="D1993" s="12" t="s">
        <v>26</v>
      </c>
      <c r="E1993" s="13" t="s">
        <v>38</v>
      </c>
      <c r="F1993" s="14">
        <v>0.027199074074074073</v>
      </c>
      <c r="G1993" s="21"/>
    </row>
    <row r="1994">
      <c r="A1994" s="4" t="s">
        <v>1747</v>
      </c>
      <c r="B1994" s="10">
        <v>2848272.0</v>
      </c>
      <c r="C1994" s="16" t="s">
        <v>262</v>
      </c>
      <c r="D1994" s="12" t="s">
        <v>26</v>
      </c>
      <c r="E1994" s="13" t="s">
        <v>38</v>
      </c>
      <c r="F1994" s="14">
        <v>0.016435185185185185</v>
      </c>
      <c r="G1994" s="21"/>
    </row>
    <row r="1995">
      <c r="A1995" s="4" t="s">
        <v>1747</v>
      </c>
      <c r="B1995" s="10">
        <v>2825698.0</v>
      </c>
      <c r="C1995" s="16" t="s">
        <v>1324</v>
      </c>
      <c r="D1995" s="12" t="s">
        <v>26</v>
      </c>
      <c r="E1995" s="13" t="s">
        <v>38</v>
      </c>
      <c r="F1995" s="14">
        <v>0.03822916666666667</v>
      </c>
      <c r="G1995" s="21"/>
    </row>
    <row r="1996">
      <c r="A1996" s="4" t="s">
        <v>1747</v>
      </c>
      <c r="B1996" s="10">
        <v>2853001.0</v>
      </c>
      <c r="C1996" s="16" t="s">
        <v>862</v>
      </c>
      <c r="D1996" s="12" t="s">
        <v>26</v>
      </c>
      <c r="E1996" s="13" t="s">
        <v>38</v>
      </c>
      <c r="F1996" s="14">
        <v>0.031469907407407405</v>
      </c>
      <c r="G1996" s="21"/>
    </row>
    <row r="1997">
      <c r="A1997" s="4" t="s">
        <v>1747</v>
      </c>
      <c r="B1997" s="10">
        <v>2865036.0</v>
      </c>
      <c r="C1997" s="16" t="s">
        <v>340</v>
      </c>
      <c r="D1997" s="12" t="s">
        <v>26</v>
      </c>
      <c r="E1997" s="13" t="s">
        <v>38</v>
      </c>
      <c r="F1997" s="14">
        <v>0.02568287037037037</v>
      </c>
      <c r="G1997" s="21"/>
    </row>
    <row r="1998">
      <c r="A1998" s="4" t="s">
        <v>1747</v>
      </c>
      <c r="B1998" s="10">
        <v>2877077.0</v>
      </c>
      <c r="C1998" s="16" t="s">
        <v>342</v>
      </c>
      <c r="D1998" s="12" t="s">
        <v>26</v>
      </c>
      <c r="E1998" s="13" t="s">
        <v>38</v>
      </c>
      <c r="F1998" s="14">
        <v>0.037766203703703705</v>
      </c>
      <c r="G1998" s="21"/>
    </row>
    <row r="1999">
      <c r="A1999" s="4" t="s">
        <v>1747</v>
      </c>
      <c r="B1999" s="10">
        <v>2877078.0</v>
      </c>
      <c r="C1999" s="16" t="s">
        <v>341</v>
      </c>
      <c r="D1999" s="12" t="s">
        <v>26</v>
      </c>
      <c r="E1999" s="13" t="s">
        <v>38</v>
      </c>
      <c r="F1999" s="14">
        <v>0.02619212962962963</v>
      </c>
      <c r="G1999" s="21"/>
    </row>
    <row r="2000">
      <c r="A2000" s="4" t="s">
        <v>1747</v>
      </c>
      <c r="B2000" s="10">
        <v>2874328.0</v>
      </c>
      <c r="C2000" s="16" t="s">
        <v>1773</v>
      </c>
      <c r="D2000" s="12" t="s">
        <v>26</v>
      </c>
      <c r="E2000" s="13" t="s">
        <v>38</v>
      </c>
      <c r="F2000" s="14">
        <v>0.03260416666666666</v>
      </c>
      <c r="G2000" s="21"/>
    </row>
    <row r="2001">
      <c r="A2001" s="4" t="s">
        <v>1747</v>
      </c>
      <c r="B2001" s="10">
        <v>2876327.0</v>
      </c>
      <c r="C2001" s="16" t="s">
        <v>1774</v>
      </c>
      <c r="D2001" s="12" t="s">
        <v>26</v>
      </c>
      <c r="E2001" s="13" t="s">
        <v>38</v>
      </c>
      <c r="F2001" s="14">
        <v>0.019467592592592592</v>
      </c>
      <c r="G2001" s="21"/>
    </row>
    <row r="2002">
      <c r="A2002" s="4" t="s">
        <v>1747</v>
      </c>
      <c r="B2002" s="10">
        <v>758621.0</v>
      </c>
      <c r="C2002" s="16" t="s">
        <v>1775</v>
      </c>
      <c r="D2002" s="12" t="s">
        <v>26</v>
      </c>
      <c r="E2002" s="13" t="s">
        <v>38</v>
      </c>
      <c r="F2002" s="14">
        <v>0.027916666666666666</v>
      </c>
      <c r="G2002" s="21"/>
    </row>
    <row r="2003">
      <c r="A2003" s="4" t="s">
        <v>1747</v>
      </c>
      <c r="B2003" s="10">
        <v>2874250.0</v>
      </c>
      <c r="C2003" s="16" t="s">
        <v>1776</v>
      </c>
      <c r="D2003" s="12" t="s">
        <v>26</v>
      </c>
      <c r="E2003" s="13" t="s">
        <v>38</v>
      </c>
      <c r="F2003" s="14">
        <v>0.030532407407407407</v>
      </c>
      <c r="G2003" s="21"/>
    </row>
    <row r="2004">
      <c r="A2004" s="4" t="s">
        <v>1747</v>
      </c>
      <c r="B2004" s="10">
        <v>2421702.0</v>
      </c>
      <c r="C2004" s="16" t="s">
        <v>1777</v>
      </c>
      <c r="D2004" s="12" t="s">
        <v>26</v>
      </c>
      <c r="E2004" s="13" t="s">
        <v>38</v>
      </c>
      <c r="F2004" s="14">
        <v>0.008854166666666666</v>
      </c>
      <c r="G2004" s="21"/>
    </row>
    <row r="2005">
      <c r="A2005" s="4" t="s">
        <v>1747</v>
      </c>
      <c r="B2005" s="10">
        <v>2427504.0</v>
      </c>
      <c r="C2005" s="16" t="s">
        <v>268</v>
      </c>
      <c r="D2005" s="12" t="s">
        <v>26</v>
      </c>
      <c r="E2005" s="13" t="s">
        <v>38</v>
      </c>
      <c r="F2005" s="14">
        <v>0.023391203703703702</v>
      </c>
      <c r="G2005" s="21"/>
    </row>
    <row r="2006">
      <c r="A2006" s="4" t="s">
        <v>1747</v>
      </c>
      <c r="B2006" s="10">
        <v>2427506.0</v>
      </c>
      <c r="C2006" s="16" t="s">
        <v>657</v>
      </c>
      <c r="D2006" s="12" t="s">
        <v>26</v>
      </c>
      <c r="E2006" s="13" t="s">
        <v>38</v>
      </c>
      <c r="F2006" s="14">
        <v>0.01615740740740741</v>
      </c>
      <c r="G2006" s="21"/>
    </row>
    <row r="2007">
      <c r="A2007" s="4" t="s">
        <v>1747</v>
      </c>
      <c r="B2007" s="10">
        <v>2427505.0</v>
      </c>
      <c r="C2007" s="16" t="s">
        <v>1778</v>
      </c>
      <c r="D2007" s="12" t="s">
        <v>26</v>
      </c>
      <c r="E2007" s="13" t="s">
        <v>38</v>
      </c>
      <c r="F2007" s="14">
        <v>0.01505787037037037</v>
      </c>
      <c r="G2007" s="21"/>
    </row>
    <row r="2008">
      <c r="A2008" s="4" t="s">
        <v>1747</v>
      </c>
      <c r="B2008" s="10">
        <v>3154786.0</v>
      </c>
      <c r="C2008" s="16" t="s">
        <v>1779</v>
      </c>
      <c r="D2008" s="12" t="s">
        <v>26</v>
      </c>
      <c r="E2008" s="13" t="s">
        <v>38</v>
      </c>
      <c r="F2008" s="14">
        <v>0.02710648148148148</v>
      </c>
      <c r="G2008" s="21"/>
    </row>
    <row r="2009">
      <c r="A2009" s="4" t="s">
        <v>1747</v>
      </c>
      <c r="B2009" s="10">
        <v>3007730.0</v>
      </c>
      <c r="C2009" s="16" t="s">
        <v>358</v>
      </c>
      <c r="D2009" s="12" t="s">
        <v>26</v>
      </c>
      <c r="E2009" s="13" t="s">
        <v>38</v>
      </c>
      <c r="F2009" s="14">
        <v>0.011331018518518518</v>
      </c>
      <c r="G2009" s="21"/>
    </row>
    <row r="2010">
      <c r="A2010" s="4" t="s">
        <v>1747</v>
      </c>
      <c r="B2010" s="10">
        <v>3009566.0</v>
      </c>
      <c r="C2010" s="16" t="s">
        <v>359</v>
      </c>
      <c r="D2010" s="12" t="s">
        <v>26</v>
      </c>
      <c r="E2010" s="13" t="s">
        <v>38</v>
      </c>
      <c r="F2010" s="14">
        <v>0.03563657407407408</v>
      </c>
      <c r="G2010" s="21"/>
    </row>
    <row r="2011">
      <c r="A2011" s="4" t="s">
        <v>1747</v>
      </c>
      <c r="B2011" s="10">
        <v>3010525.0</v>
      </c>
      <c r="C2011" s="16" t="s">
        <v>1780</v>
      </c>
      <c r="D2011" s="12" t="s">
        <v>26</v>
      </c>
      <c r="E2011" s="13" t="s">
        <v>38</v>
      </c>
      <c r="F2011" s="14">
        <v>0.03876157407407407</v>
      </c>
      <c r="G2011" s="21"/>
    </row>
    <row r="2012">
      <c r="A2012" s="4" t="s">
        <v>1747</v>
      </c>
      <c r="B2012" s="10">
        <v>3011516.0</v>
      </c>
      <c r="C2012" s="16" t="s">
        <v>1781</v>
      </c>
      <c r="D2012" s="12" t="s">
        <v>26</v>
      </c>
      <c r="E2012" s="13" t="s">
        <v>38</v>
      </c>
      <c r="F2012" s="14">
        <v>0.037453703703703704</v>
      </c>
      <c r="G2012" s="21"/>
    </row>
    <row r="2013">
      <c r="A2013" s="4" t="s">
        <v>1747</v>
      </c>
      <c r="B2013" s="10">
        <v>3013248.0</v>
      </c>
      <c r="C2013" s="16" t="s">
        <v>1041</v>
      </c>
      <c r="D2013" s="12" t="s">
        <v>26</v>
      </c>
      <c r="E2013" s="13" t="s">
        <v>38</v>
      </c>
      <c r="F2013" s="14">
        <v>0.026261574074074073</v>
      </c>
      <c r="G2013" s="21"/>
    </row>
    <row r="2014">
      <c r="A2014" s="4" t="s">
        <v>1747</v>
      </c>
      <c r="B2014" s="10">
        <v>3003657.0</v>
      </c>
      <c r="C2014" s="16" t="s">
        <v>524</v>
      </c>
      <c r="D2014" s="12" t="s">
        <v>26</v>
      </c>
      <c r="E2014" s="13" t="s">
        <v>38</v>
      </c>
      <c r="F2014" s="14">
        <v>0.020196759259259258</v>
      </c>
      <c r="G2014" s="21"/>
    </row>
    <row r="2015">
      <c r="A2015" s="4" t="s">
        <v>1747</v>
      </c>
      <c r="B2015" s="10">
        <v>3013036.0</v>
      </c>
      <c r="C2015" s="16" t="s">
        <v>1258</v>
      </c>
      <c r="D2015" s="12" t="s">
        <v>26</v>
      </c>
      <c r="E2015" s="13" t="s">
        <v>38</v>
      </c>
      <c r="F2015" s="14">
        <v>0.03803240740740741</v>
      </c>
      <c r="G2015" s="21"/>
    </row>
    <row r="2016">
      <c r="A2016" s="4" t="s">
        <v>1747</v>
      </c>
      <c r="B2016" s="10">
        <v>3008555.0</v>
      </c>
      <c r="C2016" s="16" t="s">
        <v>1259</v>
      </c>
      <c r="D2016" s="12" t="s">
        <v>26</v>
      </c>
      <c r="E2016" s="13" t="s">
        <v>38</v>
      </c>
      <c r="F2016" s="14">
        <v>0.04612268518518518</v>
      </c>
      <c r="G2016" s="21"/>
    </row>
    <row r="2017">
      <c r="A2017" s="4" t="s">
        <v>1747</v>
      </c>
      <c r="B2017" s="10">
        <v>2835086.0</v>
      </c>
      <c r="C2017" s="16" t="s">
        <v>1782</v>
      </c>
      <c r="D2017" s="12" t="s">
        <v>26</v>
      </c>
      <c r="E2017" s="13" t="s">
        <v>19</v>
      </c>
      <c r="F2017" s="14">
        <v>0.02789351851851852</v>
      </c>
      <c r="G2017" s="21"/>
    </row>
    <row r="2018">
      <c r="A2018" s="4" t="s">
        <v>1747</v>
      </c>
      <c r="B2018" s="10">
        <v>625918.0</v>
      </c>
      <c r="C2018" s="16" t="s">
        <v>1783</v>
      </c>
      <c r="D2018" s="12" t="s">
        <v>26</v>
      </c>
      <c r="E2018" s="13" t="s">
        <v>19</v>
      </c>
      <c r="F2018" s="14">
        <v>0.06300925925925926</v>
      </c>
      <c r="G2018" s="21"/>
    </row>
    <row r="2019">
      <c r="A2019" s="4" t="s">
        <v>1747</v>
      </c>
      <c r="B2019" s="10">
        <v>2824254.0</v>
      </c>
      <c r="C2019" s="16" t="s">
        <v>1734</v>
      </c>
      <c r="D2019" s="12" t="s">
        <v>26</v>
      </c>
      <c r="E2019" s="13" t="s">
        <v>19</v>
      </c>
      <c r="F2019" s="14">
        <v>0.018900462962962963</v>
      </c>
      <c r="G2019" s="21"/>
    </row>
    <row r="2020">
      <c r="A2020" s="4" t="s">
        <v>1747</v>
      </c>
      <c r="B2020" s="10">
        <v>2835068.0</v>
      </c>
      <c r="C2020" s="16" t="s">
        <v>148</v>
      </c>
      <c r="D2020" s="12" t="s">
        <v>26</v>
      </c>
      <c r="E2020" s="13" t="s">
        <v>19</v>
      </c>
      <c r="F2020" s="14">
        <v>0.022569444444444444</v>
      </c>
      <c r="G2020" s="21"/>
    </row>
    <row r="2021">
      <c r="A2021" s="4" t="s">
        <v>1747</v>
      </c>
      <c r="B2021" s="10">
        <v>664802.0</v>
      </c>
      <c r="C2021" s="16" t="s">
        <v>1784</v>
      </c>
      <c r="D2021" s="12" t="s">
        <v>26</v>
      </c>
      <c r="E2021" s="13" t="s">
        <v>19</v>
      </c>
      <c r="F2021" s="14">
        <v>0.03832175925925926</v>
      </c>
      <c r="G2021" s="21"/>
    </row>
    <row r="2022">
      <c r="A2022" s="4" t="s">
        <v>1747</v>
      </c>
      <c r="B2022" s="10">
        <v>2833000.0</v>
      </c>
      <c r="C2022" s="16" t="s">
        <v>1785</v>
      </c>
      <c r="D2022" s="12" t="s">
        <v>26</v>
      </c>
      <c r="E2022" s="13" t="s">
        <v>26</v>
      </c>
      <c r="F2022" s="14">
        <v>0.024756944444444446</v>
      </c>
      <c r="G2022" s="21"/>
    </row>
    <row r="2023">
      <c r="A2023" s="4" t="s">
        <v>1747</v>
      </c>
      <c r="B2023" s="10">
        <v>3019047.0</v>
      </c>
      <c r="C2023" s="16" t="s">
        <v>1786</v>
      </c>
      <c r="D2023" s="12" t="s">
        <v>26</v>
      </c>
      <c r="E2023" s="13" t="s">
        <v>26</v>
      </c>
      <c r="F2023" s="14">
        <v>0.04513888888888889</v>
      </c>
      <c r="G2023" s="21"/>
    </row>
    <row r="2024">
      <c r="A2024" s="4" t="s">
        <v>1747</v>
      </c>
      <c r="B2024" s="10">
        <v>2892592.0</v>
      </c>
      <c r="C2024" s="16" t="s">
        <v>1787</v>
      </c>
      <c r="D2024" s="12" t="s">
        <v>26</v>
      </c>
      <c r="E2024" s="13" t="s">
        <v>26</v>
      </c>
      <c r="F2024" s="14">
        <v>0.0347337962962963</v>
      </c>
      <c r="G2024" s="21"/>
    </row>
    <row r="2025">
      <c r="A2025" s="4" t="s">
        <v>1747</v>
      </c>
      <c r="B2025" s="10">
        <v>746261.0</v>
      </c>
      <c r="C2025" s="16" t="s">
        <v>1788</v>
      </c>
      <c r="D2025" s="12" t="s">
        <v>26</v>
      </c>
      <c r="E2025" s="13" t="s">
        <v>26</v>
      </c>
      <c r="F2025" s="14">
        <v>0.02277777777777778</v>
      </c>
      <c r="G2025" s="21"/>
    </row>
    <row r="2026">
      <c r="A2026" s="4" t="s">
        <v>1747</v>
      </c>
      <c r="B2026" s="10">
        <v>704110.0</v>
      </c>
      <c r="C2026" s="16" t="s">
        <v>1789</v>
      </c>
      <c r="D2026" s="12" t="s">
        <v>26</v>
      </c>
      <c r="E2026" s="13" t="s">
        <v>26</v>
      </c>
      <c r="F2026" s="14">
        <v>0.027800925925925927</v>
      </c>
      <c r="G2026" s="21"/>
    </row>
    <row r="2027">
      <c r="A2027" s="4" t="s">
        <v>1747</v>
      </c>
      <c r="B2027" s="10">
        <v>642484.0</v>
      </c>
      <c r="C2027" s="16" t="s">
        <v>1790</v>
      </c>
      <c r="D2027" s="12" t="s">
        <v>26</v>
      </c>
      <c r="E2027" s="13" t="s">
        <v>26</v>
      </c>
      <c r="F2027" s="14">
        <v>0.03225694444444444</v>
      </c>
      <c r="G2027" s="21"/>
    </row>
    <row r="2028">
      <c r="A2028" s="4" t="s">
        <v>1747</v>
      </c>
      <c r="B2028" s="10">
        <v>373788.0</v>
      </c>
      <c r="C2028" s="16" t="s">
        <v>1791</v>
      </c>
      <c r="D2028" s="12" t="s">
        <v>26</v>
      </c>
      <c r="E2028" s="13" t="s">
        <v>26</v>
      </c>
      <c r="F2028" s="14">
        <v>0.04650462962962963</v>
      </c>
      <c r="G2028" s="21"/>
    </row>
    <row r="2029">
      <c r="A2029" s="4" t="s">
        <v>1747</v>
      </c>
      <c r="B2029" s="10">
        <v>756276.0</v>
      </c>
      <c r="C2029" s="16" t="s">
        <v>1792</v>
      </c>
      <c r="D2029" s="12" t="s">
        <v>26</v>
      </c>
      <c r="E2029" s="13" t="s">
        <v>26</v>
      </c>
      <c r="F2029" s="14">
        <v>0.03549768518518519</v>
      </c>
      <c r="G2029" s="21"/>
    </row>
    <row r="2030">
      <c r="A2030" s="4" t="s">
        <v>1747</v>
      </c>
      <c r="B2030" s="10">
        <v>779733.0</v>
      </c>
      <c r="C2030" s="16" t="s">
        <v>1793</v>
      </c>
      <c r="D2030" s="12" t="s">
        <v>26</v>
      </c>
      <c r="E2030" s="13" t="s">
        <v>26</v>
      </c>
      <c r="F2030" s="14">
        <v>0.03305555555555555</v>
      </c>
      <c r="G2030" s="21"/>
    </row>
    <row r="2031">
      <c r="A2031" s="4" t="s">
        <v>1747</v>
      </c>
      <c r="B2031" s="10">
        <v>5040392.0</v>
      </c>
      <c r="C2031" s="16" t="s">
        <v>1794</v>
      </c>
      <c r="D2031" s="12" t="s">
        <v>26</v>
      </c>
      <c r="E2031" s="13" t="s">
        <v>26</v>
      </c>
      <c r="F2031" s="14">
        <v>0.00982638888888889</v>
      </c>
      <c r="G2031" s="21"/>
    </row>
    <row r="2032">
      <c r="A2032" s="4" t="s">
        <v>1747</v>
      </c>
      <c r="B2032" s="10">
        <v>716048.0</v>
      </c>
      <c r="C2032" s="16" t="s">
        <v>1065</v>
      </c>
      <c r="D2032" s="12" t="s">
        <v>26</v>
      </c>
      <c r="E2032" s="13" t="s">
        <v>26</v>
      </c>
      <c r="F2032" s="14">
        <v>0.039247685185185184</v>
      </c>
      <c r="G2032" s="21"/>
    </row>
    <row r="2033">
      <c r="A2033" s="4" t="s">
        <v>1747</v>
      </c>
      <c r="B2033" s="10">
        <v>5025098.0</v>
      </c>
      <c r="C2033" s="16" t="s">
        <v>282</v>
      </c>
      <c r="D2033" s="12" t="s">
        <v>26</v>
      </c>
      <c r="E2033" s="13" t="s">
        <v>26</v>
      </c>
      <c r="F2033" s="14">
        <v>0.036944444444444446</v>
      </c>
      <c r="G2033" s="21"/>
    </row>
    <row r="2034">
      <c r="A2034" s="4" t="s">
        <v>1747</v>
      </c>
      <c r="B2034" s="10">
        <v>2800408.0</v>
      </c>
      <c r="C2034" s="16" t="s">
        <v>1342</v>
      </c>
      <c r="D2034" s="12" t="s">
        <v>26</v>
      </c>
      <c r="E2034" s="13" t="s">
        <v>26</v>
      </c>
      <c r="F2034" s="14">
        <v>0.04358796296296296</v>
      </c>
      <c r="G2034" s="21"/>
    </row>
    <row r="2035">
      <c r="A2035" s="4" t="s">
        <v>1747</v>
      </c>
      <c r="B2035" s="10">
        <v>2839076.0</v>
      </c>
      <c r="C2035" s="16" t="s">
        <v>1795</v>
      </c>
      <c r="D2035" s="12" t="s">
        <v>26</v>
      </c>
      <c r="E2035" s="13" t="s">
        <v>26</v>
      </c>
      <c r="F2035" s="14">
        <v>0.01568287037037037</v>
      </c>
      <c r="G2035" s="21"/>
    </row>
    <row r="2036">
      <c r="A2036" s="4" t="s">
        <v>1747</v>
      </c>
      <c r="B2036" s="10">
        <v>2864030.0</v>
      </c>
      <c r="C2036" s="16" t="s">
        <v>1268</v>
      </c>
      <c r="D2036" s="12" t="s">
        <v>26</v>
      </c>
      <c r="E2036" s="13" t="s">
        <v>26</v>
      </c>
      <c r="F2036" s="14">
        <v>0.011307870370370371</v>
      </c>
      <c r="G2036" s="21"/>
    </row>
    <row r="2037">
      <c r="A2037" s="4" t="s">
        <v>1747</v>
      </c>
      <c r="B2037" s="10">
        <v>2848321.0</v>
      </c>
      <c r="C2037" s="16" t="s">
        <v>381</v>
      </c>
      <c r="D2037" s="12" t="s">
        <v>26</v>
      </c>
      <c r="E2037" s="13" t="s">
        <v>26</v>
      </c>
      <c r="F2037" s="14">
        <v>0.011284722222222222</v>
      </c>
      <c r="G2037" s="21"/>
    </row>
    <row r="2038">
      <c r="A2038" s="4" t="s">
        <v>1747</v>
      </c>
      <c r="B2038" s="10">
        <v>2866005.0</v>
      </c>
      <c r="C2038" s="16" t="s">
        <v>1796</v>
      </c>
      <c r="D2038" s="12" t="s">
        <v>26</v>
      </c>
      <c r="E2038" s="13" t="s">
        <v>26</v>
      </c>
      <c r="F2038" s="14">
        <v>0.015717592592592592</v>
      </c>
      <c r="G2038" s="21"/>
    </row>
    <row r="2039">
      <c r="A2039" s="4" t="s">
        <v>1747</v>
      </c>
      <c r="B2039" s="10">
        <v>2864299.0</v>
      </c>
      <c r="C2039" s="16" t="s">
        <v>1797</v>
      </c>
      <c r="D2039" s="12" t="s">
        <v>26</v>
      </c>
      <c r="E2039" s="13" t="s">
        <v>26</v>
      </c>
      <c r="F2039" s="14">
        <v>0.024907407407407406</v>
      </c>
      <c r="G2039" s="21"/>
    </row>
    <row r="2040">
      <c r="A2040" s="4" t="s">
        <v>1747</v>
      </c>
      <c r="B2040" s="10">
        <v>5002835.0</v>
      </c>
      <c r="C2040" s="16" t="s">
        <v>1798</v>
      </c>
      <c r="D2040" s="12" t="s">
        <v>26</v>
      </c>
      <c r="E2040" s="13" t="s">
        <v>26</v>
      </c>
      <c r="F2040" s="14">
        <v>0.028912037037037038</v>
      </c>
      <c r="G2040" s="21"/>
    </row>
    <row r="2041">
      <c r="A2041" s="4" t="s">
        <v>1747</v>
      </c>
      <c r="B2041" s="10">
        <v>758616.0</v>
      </c>
      <c r="C2041" s="16" t="s">
        <v>217</v>
      </c>
      <c r="D2041" s="12" t="s">
        <v>26</v>
      </c>
      <c r="E2041" s="13" t="s">
        <v>26</v>
      </c>
      <c r="F2041" s="14">
        <v>0.015173611111111112</v>
      </c>
      <c r="G2041" s="21"/>
    </row>
    <row r="2042">
      <c r="A2042" s="4" t="s">
        <v>1747</v>
      </c>
      <c r="B2042" s="10">
        <v>2825696.0</v>
      </c>
      <c r="C2042" s="16" t="s">
        <v>382</v>
      </c>
      <c r="D2042" s="12" t="s">
        <v>26</v>
      </c>
      <c r="E2042" s="13" t="s">
        <v>26</v>
      </c>
      <c r="F2042" s="14">
        <v>0.015555555555555555</v>
      </c>
      <c r="G2042" s="21"/>
    </row>
    <row r="2043">
      <c r="A2043" s="4" t="s">
        <v>1747</v>
      </c>
      <c r="B2043" s="10">
        <v>5028612.0</v>
      </c>
      <c r="C2043" s="16" t="s">
        <v>1064</v>
      </c>
      <c r="D2043" s="12" t="s">
        <v>26</v>
      </c>
      <c r="E2043" s="13" t="s">
        <v>26</v>
      </c>
      <c r="F2043" s="14">
        <v>0.02847222222222222</v>
      </c>
      <c r="G2043" s="21"/>
    </row>
    <row r="2044">
      <c r="A2044" s="4" t="s">
        <v>1747</v>
      </c>
      <c r="B2044" s="10">
        <v>2883104.0</v>
      </c>
      <c r="C2044" s="16" t="s">
        <v>1272</v>
      </c>
      <c r="D2044" s="12" t="s">
        <v>26</v>
      </c>
      <c r="E2044" s="13" t="s">
        <v>26</v>
      </c>
      <c r="F2044" s="14">
        <v>0.050243055555555555</v>
      </c>
      <c r="G2044" s="21"/>
    </row>
    <row r="2045">
      <c r="A2045" s="4" t="s">
        <v>1747</v>
      </c>
      <c r="B2045" s="10">
        <v>2428262.0</v>
      </c>
      <c r="C2045" s="16" t="s">
        <v>1799</v>
      </c>
      <c r="D2045" s="12" t="s">
        <v>26</v>
      </c>
      <c r="E2045" s="13" t="s">
        <v>26</v>
      </c>
      <c r="F2045" s="14">
        <v>0.04398148148148148</v>
      </c>
      <c r="G2045" s="21"/>
    </row>
    <row r="2046">
      <c r="A2046" s="4" t="s">
        <v>1747</v>
      </c>
      <c r="B2046" s="10">
        <v>2873211.0</v>
      </c>
      <c r="C2046" s="16" t="s">
        <v>1800</v>
      </c>
      <c r="D2046" s="12" t="s">
        <v>26</v>
      </c>
      <c r="E2046" s="13" t="s">
        <v>26</v>
      </c>
      <c r="F2046" s="14">
        <v>0.014027777777777778</v>
      </c>
      <c r="G2046" s="21"/>
    </row>
    <row r="2047">
      <c r="A2047" s="4" t="s">
        <v>1747</v>
      </c>
      <c r="B2047" s="10">
        <v>2886191.0</v>
      </c>
      <c r="C2047" s="16" t="s">
        <v>1801</v>
      </c>
      <c r="D2047" s="12" t="s">
        <v>26</v>
      </c>
      <c r="E2047" s="13" t="s">
        <v>26</v>
      </c>
      <c r="F2047" s="14">
        <v>0.022800925925925926</v>
      </c>
      <c r="G2047" s="21"/>
    </row>
    <row r="2048">
      <c r="A2048" s="4" t="s">
        <v>1747</v>
      </c>
      <c r="B2048" s="10">
        <v>2833038.0</v>
      </c>
      <c r="C2048" s="16" t="s">
        <v>1802</v>
      </c>
      <c r="D2048" s="12" t="s">
        <v>26</v>
      </c>
      <c r="E2048" s="13" t="s">
        <v>26</v>
      </c>
      <c r="F2048" s="14">
        <v>0.02122685185185185</v>
      </c>
      <c r="G2048" s="21"/>
    </row>
    <row r="2049">
      <c r="A2049" s="4" t="s">
        <v>1747</v>
      </c>
      <c r="B2049" s="10">
        <v>2877284.0</v>
      </c>
      <c r="C2049" s="16" t="s">
        <v>1803</v>
      </c>
      <c r="D2049" s="12" t="s">
        <v>26</v>
      </c>
      <c r="E2049" s="13" t="s">
        <v>26</v>
      </c>
      <c r="F2049" s="14">
        <v>0.04332175925925926</v>
      </c>
      <c r="G2049" s="21"/>
    </row>
    <row r="2050">
      <c r="A2050" s="4" t="s">
        <v>1747</v>
      </c>
      <c r="B2050" s="10">
        <v>2835067.0</v>
      </c>
      <c r="C2050" s="16" t="s">
        <v>393</v>
      </c>
      <c r="D2050" s="12" t="s">
        <v>26</v>
      </c>
      <c r="E2050" s="13" t="s">
        <v>26</v>
      </c>
      <c r="F2050" s="14">
        <v>0.019467592592592592</v>
      </c>
      <c r="G2050" s="21"/>
    </row>
    <row r="2051">
      <c r="A2051" s="4" t="s">
        <v>1747</v>
      </c>
      <c r="B2051" s="10">
        <v>2896887.0</v>
      </c>
      <c r="C2051" s="16" t="s">
        <v>157</v>
      </c>
      <c r="D2051" s="12" t="s">
        <v>26</v>
      </c>
      <c r="E2051" s="13" t="s">
        <v>26</v>
      </c>
      <c r="F2051" s="14">
        <v>0.033900462962962966</v>
      </c>
      <c r="G2051" s="21"/>
    </row>
    <row r="2052">
      <c r="A2052" s="4" t="s">
        <v>1747</v>
      </c>
      <c r="B2052" s="10">
        <v>2424508.0</v>
      </c>
      <c r="C2052" s="16" t="s">
        <v>395</v>
      </c>
      <c r="D2052" s="12" t="s">
        <v>26</v>
      </c>
      <c r="E2052" s="13" t="s">
        <v>26</v>
      </c>
      <c r="F2052" s="14">
        <v>0.0434375</v>
      </c>
      <c r="G2052" s="21"/>
    </row>
    <row r="2053">
      <c r="A2053" s="4" t="s">
        <v>1747</v>
      </c>
      <c r="B2053" s="10">
        <v>2425282.0</v>
      </c>
      <c r="C2053" s="16" t="s">
        <v>396</v>
      </c>
      <c r="D2053" s="12" t="s">
        <v>26</v>
      </c>
      <c r="E2053" s="13" t="s">
        <v>26</v>
      </c>
      <c r="F2053" s="14">
        <v>0.03449074074074074</v>
      </c>
      <c r="G2053" s="21"/>
    </row>
    <row r="2054">
      <c r="A2054" s="4" t="s">
        <v>1747</v>
      </c>
      <c r="B2054" s="10">
        <v>2426448.0</v>
      </c>
      <c r="C2054" s="16" t="s">
        <v>1804</v>
      </c>
      <c r="D2054" s="12" t="s">
        <v>26</v>
      </c>
      <c r="E2054" s="13" t="s">
        <v>26</v>
      </c>
      <c r="F2054" s="14">
        <v>0.036319444444444446</v>
      </c>
      <c r="G2054" s="21"/>
    </row>
    <row r="2055">
      <c r="A2055" s="4" t="s">
        <v>1747</v>
      </c>
      <c r="B2055" s="10">
        <v>2822684.0</v>
      </c>
      <c r="C2055" s="16" t="s">
        <v>288</v>
      </c>
      <c r="D2055" s="12" t="s">
        <v>26</v>
      </c>
      <c r="E2055" s="13" t="s">
        <v>26</v>
      </c>
      <c r="F2055" s="14">
        <v>0.03328703703703704</v>
      </c>
      <c r="G2055" s="21"/>
    </row>
    <row r="2056">
      <c r="A2056" s="4" t="s">
        <v>1747</v>
      </c>
      <c r="B2056" s="10">
        <v>2825722.0</v>
      </c>
      <c r="C2056" s="16" t="s">
        <v>1805</v>
      </c>
      <c r="D2056" s="12" t="s">
        <v>26</v>
      </c>
      <c r="E2056" s="13" t="s">
        <v>15</v>
      </c>
      <c r="F2056" s="14">
        <v>0.05859953703703704</v>
      </c>
      <c r="G2056" s="21"/>
    </row>
    <row r="2057">
      <c r="A2057" s="4" t="s">
        <v>1747</v>
      </c>
      <c r="B2057" s="10">
        <v>2825601.0</v>
      </c>
      <c r="C2057" s="16" t="s">
        <v>285</v>
      </c>
      <c r="D2057" s="12" t="s">
        <v>26</v>
      </c>
      <c r="E2057" s="13" t="s">
        <v>15</v>
      </c>
      <c r="F2057" s="14">
        <v>0.04068287037037037</v>
      </c>
      <c r="G2057" s="21"/>
    </row>
    <row r="2058">
      <c r="A2058" s="4" t="s">
        <v>1747</v>
      </c>
      <c r="B2058" s="10">
        <v>2824379.0</v>
      </c>
      <c r="C2058" s="16" t="s">
        <v>1331</v>
      </c>
      <c r="D2058" s="12" t="s">
        <v>26</v>
      </c>
      <c r="E2058" s="13" t="s">
        <v>15</v>
      </c>
      <c r="F2058" s="14">
        <v>0.02185185185185185</v>
      </c>
      <c r="G2058" s="21"/>
    </row>
    <row r="2059">
      <c r="A2059" s="4" t="s">
        <v>1747</v>
      </c>
      <c r="B2059" s="10">
        <v>800197.0</v>
      </c>
      <c r="C2059" s="16" t="s">
        <v>1806</v>
      </c>
      <c r="D2059" s="12" t="s">
        <v>26</v>
      </c>
      <c r="E2059" s="13" t="s">
        <v>15</v>
      </c>
      <c r="F2059" s="14">
        <v>0.04584490740740741</v>
      </c>
      <c r="G2059" s="21"/>
    </row>
    <row r="2060">
      <c r="A2060" s="4" t="s">
        <v>1747</v>
      </c>
      <c r="B2060" s="10">
        <v>2823580.0</v>
      </c>
      <c r="C2060" s="16" t="s">
        <v>1807</v>
      </c>
      <c r="D2060" s="12" t="s">
        <v>26</v>
      </c>
      <c r="E2060" s="13" t="s">
        <v>15</v>
      </c>
      <c r="F2060" s="14">
        <v>0.03585648148148148</v>
      </c>
      <c r="G2060" s="21"/>
    </row>
    <row r="2061">
      <c r="A2061" s="4" t="s">
        <v>1808</v>
      </c>
      <c r="B2061" s="5" t="s">
        <v>8</v>
      </c>
      <c r="C2061" s="6" t="s">
        <v>9</v>
      </c>
      <c r="D2061" s="7" t="s">
        <v>3</v>
      </c>
      <c r="E2061" s="7" t="s">
        <v>10</v>
      </c>
      <c r="F2061" s="8" t="s">
        <v>11</v>
      </c>
      <c r="G2061" s="9" t="s">
        <v>12</v>
      </c>
    </row>
    <row r="2062">
      <c r="A2062" s="4" t="s">
        <v>1808</v>
      </c>
      <c r="B2062" s="10">
        <v>721925.0</v>
      </c>
      <c r="C2062" s="16" t="s">
        <v>1809</v>
      </c>
      <c r="D2062" s="12" t="s">
        <v>26</v>
      </c>
      <c r="E2062" s="13" t="s">
        <v>109</v>
      </c>
      <c r="F2062" s="14">
        <v>0.2010185185185185</v>
      </c>
      <c r="G2062" s="17" t="s">
        <v>429</v>
      </c>
    </row>
    <row r="2063">
      <c r="A2063" s="4" t="s">
        <v>1808</v>
      </c>
      <c r="B2063" s="10">
        <v>699320.0</v>
      </c>
      <c r="C2063" s="16" t="s">
        <v>1810</v>
      </c>
      <c r="D2063" s="12" t="s">
        <v>26</v>
      </c>
      <c r="E2063" s="13" t="s">
        <v>38</v>
      </c>
      <c r="F2063" s="14">
        <v>0.02634259259259259</v>
      </c>
      <c r="G2063" s="17" t="s">
        <v>1811</v>
      </c>
    </row>
    <row r="2064">
      <c r="A2064" s="4" t="s">
        <v>1808</v>
      </c>
      <c r="B2064" s="10">
        <v>699319.0</v>
      </c>
      <c r="C2064" s="16" t="s">
        <v>1812</v>
      </c>
      <c r="D2064" s="12" t="s">
        <v>26</v>
      </c>
      <c r="E2064" s="13" t="s">
        <v>38</v>
      </c>
      <c r="F2064" s="14">
        <v>0.023449074074074074</v>
      </c>
      <c r="G2064" s="30"/>
    </row>
    <row r="2065">
      <c r="A2065" s="4" t="s">
        <v>1808</v>
      </c>
      <c r="B2065" s="10">
        <v>2811710.0</v>
      </c>
      <c r="C2065" s="16" t="s">
        <v>1813</v>
      </c>
      <c r="D2065" s="12" t="s">
        <v>26</v>
      </c>
      <c r="E2065" s="13" t="s">
        <v>38</v>
      </c>
      <c r="F2065" s="14">
        <v>0.029097222222222222</v>
      </c>
      <c r="G2065" s="21"/>
    </row>
    <row r="2066">
      <c r="A2066" s="4" t="s">
        <v>1808</v>
      </c>
      <c r="B2066" s="10">
        <v>2819138.0</v>
      </c>
      <c r="C2066" s="16" t="s">
        <v>1814</v>
      </c>
      <c r="D2066" s="12" t="s">
        <v>26</v>
      </c>
      <c r="E2066" s="13" t="s">
        <v>38</v>
      </c>
      <c r="F2066" s="14">
        <v>0.01945601851851852</v>
      </c>
      <c r="G2066" s="17"/>
    </row>
    <row r="2067">
      <c r="A2067" s="4" t="s">
        <v>1808</v>
      </c>
      <c r="B2067" s="10">
        <v>2819187.0</v>
      </c>
      <c r="C2067" s="16" t="s">
        <v>1815</v>
      </c>
      <c r="D2067" s="12" t="s">
        <v>26</v>
      </c>
      <c r="E2067" s="13" t="s">
        <v>38</v>
      </c>
      <c r="F2067" s="14">
        <v>0.02642361111111111</v>
      </c>
      <c r="G2067" s="17"/>
    </row>
    <row r="2068">
      <c r="A2068" s="4" t="s">
        <v>1808</v>
      </c>
      <c r="B2068" s="10">
        <v>2876264.0</v>
      </c>
      <c r="C2068" s="16" t="s">
        <v>1816</v>
      </c>
      <c r="D2068" s="12" t="s">
        <v>26</v>
      </c>
      <c r="E2068" s="13" t="s">
        <v>38</v>
      </c>
      <c r="F2068" s="14">
        <v>0.040219907407407406</v>
      </c>
      <c r="G2068" s="30"/>
    </row>
    <row r="2069">
      <c r="A2069" s="4" t="s">
        <v>1808</v>
      </c>
      <c r="B2069" s="10">
        <v>3011515.0</v>
      </c>
      <c r="C2069" s="16" t="s">
        <v>1817</v>
      </c>
      <c r="D2069" s="12" t="s">
        <v>26</v>
      </c>
      <c r="E2069" s="13" t="s">
        <v>38</v>
      </c>
      <c r="F2069" s="14">
        <v>0.04082175925925926</v>
      </c>
      <c r="G2069" s="21"/>
    </row>
    <row r="2070">
      <c r="A2070" s="4" t="s">
        <v>1808</v>
      </c>
      <c r="B2070" s="10">
        <v>661747.0</v>
      </c>
      <c r="C2070" s="16" t="s">
        <v>1818</v>
      </c>
      <c r="D2070" s="12" t="s">
        <v>26</v>
      </c>
      <c r="E2070" s="13" t="s">
        <v>19</v>
      </c>
      <c r="F2070" s="14">
        <v>0.04009259259259259</v>
      </c>
      <c r="G2070" s="21"/>
    </row>
    <row r="2071">
      <c r="A2071" s="4" t="s">
        <v>1808</v>
      </c>
      <c r="B2071" s="10">
        <v>2823292.0</v>
      </c>
      <c r="C2071" s="16" t="s">
        <v>1819</v>
      </c>
      <c r="D2071" s="12" t="s">
        <v>26</v>
      </c>
      <c r="E2071" s="13" t="s">
        <v>26</v>
      </c>
      <c r="F2071" s="14">
        <v>0.02045138888888889</v>
      </c>
      <c r="G2071" s="21"/>
    </row>
    <row r="2072">
      <c r="A2072" s="4" t="s">
        <v>1808</v>
      </c>
      <c r="B2072" s="10">
        <v>2254042.0</v>
      </c>
      <c r="C2072" s="16" t="s">
        <v>1820</v>
      </c>
      <c r="D2072" s="12" t="s">
        <v>26</v>
      </c>
      <c r="E2072" s="13" t="s">
        <v>26</v>
      </c>
      <c r="F2072" s="14">
        <v>0.03851851851851852</v>
      </c>
      <c r="G2072" s="21"/>
    </row>
    <row r="2073">
      <c r="A2073" s="4" t="s">
        <v>1808</v>
      </c>
      <c r="B2073" s="10">
        <v>2824200.0</v>
      </c>
      <c r="C2073" s="16" t="s">
        <v>1821</v>
      </c>
      <c r="D2073" s="12" t="s">
        <v>26</v>
      </c>
      <c r="E2073" s="13" t="s">
        <v>26</v>
      </c>
      <c r="F2073" s="14">
        <v>0.02922453703703704</v>
      </c>
      <c r="G2073" s="21"/>
    </row>
    <row r="2074">
      <c r="A2074" s="4" t="s">
        <v>1808</v>
      </c>
      <c r="B2074" s="10">
        <v>791333.0</v>
      </c>
      <c r="C2074" s="11" t="s">
        <v>1822</v>
      </c>
      <c r="D2074" s="12" t="s">
        <v>26</v>
      </c>
      <c r="E2074" s="13" t="s">
        <v>26</v>
      </c>
      <c r="F2074" s="14">
        <v>0.11074074074074074</v>
      </c>
      <c r="G2074" s="21"/>
    </row>
    <row r="2075">
      <c r="A2075" s="4" t="s">
        <v>1808</v>
      </c>
      <c r="B2075" s="10">
        <v>642461.0</v>
      </c>
      <c r="C2075" s="16" t="s">
        <v>1823</v>
      </c>
      <c r="D2075" s="12" t="s">
        <v>26</v>
      </c>
      <c r="E2075" s="13" t="s">
        <v>26</v>
      </c>
      <c r="F2075" s="14">
        <v>0.031087962962962963</v>
      </c>
      <c r="G2075" s="21"/>
    </row>
    <row r="2076">
      <c r="A2076" s="4" t="s">
        <v>1808</v>
      </c>
      <c r="B2076" s="10">
        <v>608988.0</v>
      </c>
      <c r="C2076" s="16" t="s">
        <v>1824</v>
      </c>
      <c r="D2076" s="12" t="s">
        <v>26</v>
      </c>
      <c r="E2076" s="13" t="s">
        <v>26</v>
      </c>
      <c r="F2076" s="14">
        <v>0.026354166666666668</v>
      </c>
      <c r="G2076" s="21"/>
    </row>
    <row r="2077">
      <c r="A2077" s="4" t="s">
        <v>1808</v>
      </c>
      <c r="B2077" s="10">
        <v>721923.0</v>
      </c>
      <c r="C2077" s="16" t="s">
        <v>1825</v>
      </c>
      <c r="D2077" s="12" t="s">
        <v>26</v>
      </c>
      <c r="E2077" s="13" t="s">
        <v>26</v>
      </c>
      <c r="F2077" s="14">
        <v>0.2145601851851852</v>
      </c>
      <c r="G2077" s="21"/>
    </row>
    <row r="2078">
      <c r="A2078" s="4" t="s">
        <v>1808</v>
      </c>
      <c r="B2078" s="10">
        <v>699321.0</v>
      </c>
      <c r="C2078" s="16" t="s">
        <v>1826</v>
      </c>
      <c r="D2078" s="12" t="s">
        <v>26</v>
      </c>
      <c r="E2078" s="13" t="s">
        <v>26</v>
      </c>
      <c r="F2078" s="14">
        <v>0.042951388888888886</v>
      </c>
      <c r="G2078" s="21"/>
    </row>
    <row r="2079">
      <c r="A2079" s="4" t="s">
        <v>1808</v>
      </c>
      <c r="B2079" s="10">
        <v>89962.0</v>
      </c>
      <c r="C2079" s="16" t="s">
        <v>1827</v>
      </c>
      <c r="D2079" s="12" t="s">
        <v>26</v>
      </c>
      <c r="E2079" s="13" t="s">
        <v>26</v>
      </c>
      <c r="F2079" s="14">
        <v>0.08009259259259259</v>
      </c>
      <c r="G2079" s="21"/>
    </row>
    <row r="2080">
      <c r="A2080" s="4" t="s">
        <v>1808</v>
      </c>
      <c r="B2080" s="10">
        <v>2227598.0</v>
      </c>
      <c r="C2080" s="16" t="s">
        <v>1828</v>
      </c>
      <c r="D2080" s="12" t="s">
        <v>26</v>
      </c>
      <c r="E2080" s="13" t="s">
        <v>26</v>
      </c>
      <c r="F2080" s="14">
        <v>0.08479166666666667</v>
      </c>
      <c r="G2080" s="21"/>
    </row>
    <row r="2081">
      <c r="A2081" s="4" t="s">
        <v>1808</v>
      </c>
      <c r="B2081" s="10">
        <v>2800332.0</v>
      </c>
      <c r="C2081" s="16" t="s">
        <v>888</v>
      </c>
      <c r="D2081" s="12" t="s">
        <v>26</v>
      </c>
      <c r="E2081" s="13" t="s">
        <v>26</v>
      </c>
      <c r="F2081" s="14">
        <v>0.03540509259259259</v>
      </c>
      <c r="G2081" s="21"/>
    </row>
    <row r="2082">
      <c r="A2082" s="4" t="s">
        <v>1808</v>
      </c>
      <c r="B2082" s="10">
        <v>2806193.0</v>
      </c>
      <c r="C2082" s="16" t="s">
        <v>1829</v>
      </c>
      <c r="D2082" s="12" t="s">
        <v>26</v>
      </c>
      <c r="E2082" s="13" t="s">
        <v>26</v>
      </c>
      <c r="F2082" s="14">
        <v>0.023668981481481482</v>
      </c>
      <c r="G2082" s="21"/>
    </row>
    <row r="2083">
      <c r="A2083" s="4" t="s">
        <v>1808</v>
      </c>
      <c r="B2083" s="10">
        <v>2835072.0</v>
      </c>
      <c r="C2083" s="16" t="s">
        <v>1830</v>
      </c>
      <c r="D2083" s="12" t="s">
        <v>26</v>
      </c>
      <c r="E2083" s="13" t="s">
        <v>26</v>
      </c>
      <c r="F2083" s="14">
        <v>0.030381944444444444</v>
      </c>
      <c r="G2083" s="21"/>
    </row>
    <row r="2084">
      <c r="A2084" s="4" t="s">
        <v>1808</v>
      </c>
      <c r="B2084" s="10">
        <v>791334.0</v>
      </c>
      <c r="C2084" s="16" t="s">
        <v>1831</v>
      </c>
      <c r="D2084" s="12" t="s">
        <v>26</v>
      </c>
      <c r="E2084" s="13" t="s">
        <v>26</v>
      </c>
      <c r="F2084" s="14">
        <v>0.22277777777777777</v>
      </c>
      <c r="G2084" s="21"/>
    </row>
    <row r="2085">
      <c r="A2085" s="4" t="s">
        <v>1808</v>
      </c>
      <c r="B2085" s="10">
        <v>802833.0</v>
      </c>
      <c r="C2085" s="16" t="s">
        <v>1832</v>
      </c>
      <c r="D2085" s="12" t="s">
        <v>26</v>
      </c>
      <c r="E2085" s="13" t="s">
        <v>26</v>
      </c>
      <c r="F2085" s="14">
        <v>0.24719907407407407</v>
      </c>
      <c r="G2085" s="21"/>
    </row>
    <row r="2086">
      <c r="A2086" s="4" t="s">
        <v>1808</v>
      </c>
      <c r="B2086" s="10">
        <v>2825739.0</v>
      </c>
      <c r="C2086" s="16" t="s">
        <v>390</v>
      </c>
      <c r="D2086" s="12" t="s">
        <v>26</v>
      </c>
      <c r="E2086" s="13" t="s">
        <v>26</v>
      </c>
      <c r="F2086" s="14">
        <v>0.028125</v>
      </c>
      <c r="G2086" s="21"/>
    </row>
    <row r="2087">
      <c r="A2087" s="4" t="s">
        <v>1808</v>
      </c>
      <c r="B2087" s="10">
        <v>2888117.0</v>
      </c>
      <c r="C2087" s="16" t="s">
        <v>1658</v>
      </c>
      <c r="D2087" s="12" t="s">
        <v>26</v>
      </c>
      <c r="E2087" s="13" t="s">
        <v>15</v>
      </c>
      <c r="F2087" s="14">
        <v>0.051145833333333335</v>
      </c>
      <c r="G2087" s="21"/>
    </row>
    <row r="2088">
      <c r="A2088" s="4" t="s">
        <v>1808</v>
      </c>
      <c r="B2088" s="10">
        <v>721926.0</v>
      </c>
      <c r="C2088" s="16" t="s">
        <v>1833</v>
      </c>
      <c r="D2088" s="12" t="s">
        <v>26</v>
      </c>
      <c r="E2088" s="13" t="s">
        <v>15</v>
      </c>
      <c r="F2088" s="14">
        <v>0.1748148148148148</v>
      </c>
      <c r="G2088" s="21"/>
    </row>
    <row r="2089">
      <c r="A2089" s="4" t="s">
        <v>1834</v>
      </c>
      <c r="B2089" s="5" t="s">
        <v>8</v>
      </c>
      <c r="C2089" s="6" t="s">
        <v>9</v>
      </c>
      <c r="D2089" s="7" t="s">
        <v>3</v>
      </c>
      <c r="E2089" s="7" t="s">
        <v>10</v>
      </c>
      <c r="F2089" s="8" t="s">
        <v>11</v>
      </c>
      <c r="G2089" s="9" t="s">
        <v>12</v>
      </c>
    </row>
    <row r="2090">
      <c r="A2090" s="4" t="s">
        <v>1834</v>
      </c>
      <c r="B2090" s="10">
        <v>713374.0</v>
      </c>
      <c r="C2090" s="16" t="s">
        <v>1835</v>
      </c>
      <c r="D2090" s="12" t="s">
        <v>18</v>
      </c>
      <c r="E2090" s="13" t="s">
        <v>15</v>
      </c>
      <c r="F2090" s="14">
        <v>0.025671296296296296</v>
      </c>
      <c r="G2090" s="15" t="s">
        <v>114</v>
      </c>
    </row>
    <row r="2091">
      <c r="A2091" s="4" t="s">
        <v>1834</v>
      </c>
      <c r="B2091" s="10">
        <v>624208.0</v>
      </c>
      <c r="C2091" s="16" t="s">
        <v>1716</v>
      </c>
      <c r="D2091" s="12" t="s">
        <v>18</v>
      </c>
      <c r="E2091" s="13" t="s">
        <v>109</v>
      </c>
      <c r="F2091" s="14">
        <v>0.039907407407407405</v>
      </c>
      <c r="G2091" s="15" t="s">
        <v>27</v>
      </c>
    </row>
    <row r="2092">
      <c r="A2092" s="4" t="s">
        <v>1834</v>
      </c>
      <c r="B2092" s="10">
        <v>2825404.0</v>
      </c>
      <c r="C2092" s="16" t="s">
        <v>1247</v>
      </c>
      <c r="D2092" s="12" t="s">
        <v>34</v>
      </c>
      <c r="E2092" s="13" t="s">
        <v>38</v>
      </c>
      <c r="F2092" s="14">
        <v>0.036863425925925924</v>
      </c>
      <c r="G2092" s="15" t="s">
        <v>1836</v>
      </c>
    </row>
    <row r="2093">
      <c r="A2093" s="4" t="s">
        <v>1834</v>
      </c>
      <c r="B2093" s="10">
        <v>2315934.0</v>
      </c>
      <c r="C2093" s="16" t="s">
        <v>239</v>
      </c>
      <c r="D2093" s="12" t="s">
        <v>34</v>
      </c>
      <c r="E2093" s="13" t="s">
        <v>19</v>
      </c>
      <c r="F2093" s="14">
        <v>0.019131944444444444</v>
      </c>
      <c r="G2093" s="15" t="s">
        <v>1837</v>
      </c>
    </row>
    <row r="2094">
      <c r="A2094" s="4" t="s">
        <v>1834</v>
      </c>
      <c r="B2094" s="10">
        <v>5015874.0</v>
      </c>
      <c r="C2094" s="11" t="s">
        <v>1838</v>
      </c>
      <c r="D2094" s="12" t="s">
        <v>34</v>
      </c>
      <c r="E2094" s="13" t="s">
        <v>15</v>
      </c>
      <c r="F2094" s="14">
        <v>0.014363425925925925</v>
      </c>
      <c r="G2094" s="17" t="s">
        <v>1839</v>
      </c>
    </row>
    <row r="2095">
      <c r="A2095" s="4" t="s">
        <v>1834</v>
      </c>
      <c r="B2095" s="10">
        <v>5015879.0</v>
      </c>
      <c r="C2095" s="16" t="s">
        <v>1840</v>
      </c>
      <c r="D2095" s="12" t="s">
        <v>34</v>
      </c>
      <c r="E2095" s="13" t="s">
        <v>15</v>
      </c>
      <c r="F2095" s="14">
        <v>0.014861111111111111</v>
      </c>
      <c r="G2095" s="17" t="s">
        <v>110</v>
      </c>
    </row>
    <row r="2096">
      <c r="A2096" s="4" t="s">
        <v>1834</v>
      </c>
      <c r="B2096" s="10">
        <v>2875378.0</v>
      </c>
      <c r="C2096" s="16" t="s">
        <v>1250</v>
      </c>
      <c r="D2096" s="12" t="s">
        <v>34</v>
      </c>
      <c r="E2096" s="13" t="s">
        <v>15</v>
      </c>
      <c r="F2096" s="14">
        <v>0.024212962962962964</v>
      </c>
      <c r="G2096" s="21"/>
    </row>
    <row r="2097">
      <c r="A2097" s="4" t="s">
        <v>1834</v>
      </c>
      <c r="B2097" s="10">
        <v>2886206.0</v>
      </c>
      <c r="C2097" s="16" t="s">
        <v>1841</v>
      </c>
      <c r="D2097" s="12" t="s">
        <v>34</v>
      </c>
      <c r="E2097" s="13" t="s">
        <v>15</v>
      </c>
      <c r="F2097" s="14">
        <v>0.028738425925925924</v>
      </c>
      <c r="G2097" s="21"/>
    </row>
    <row r="2098">
      <c r="A2098" s="4" t="s">
        <v>1834</v>
      </c>
      <c r="B2098" s="10">
        <v>2893109.0</v>
      </c>
      <c r="C2098" s="16" t="s">
        <v>1842</v>
      </c>
      <c r="D2098" s="12" t="s">
        <v>34</v>
      </c>
      <c r="E2098" s="13" t="s">
        <v>15</v>
      </c>
      <c r="F2098" s="14">
        <v>0.02662037037037037</v>
      </c>
      <c r="G2098" s="21"/>
    </row>
    <row r="2099">
      <c r="A2099" s="4" t="s">
        <v>1834</v>
      </c>
      <c r="B2099" s="10">
        <v>2242044.0</v>
      </c>
      <c r="C2099" s="16" t="s">
        <v>1319</v>
      </c>
      <c r="D2099" s="12" t="s">
        <v>34</v>
      </c>
      <c r="E2099" s="13" t="s">
        <v>26</v>
      </c>
      <c r="F2099" s="14">
        <v>0.009097222222222222</v>
      </c>
      <c r="G2099" s="21"/>
    </row>
    <row r="2100">
      <c r="A2100" s="4" t="s">
        <v>1834</v>
      </c>
      <c r="B2100" s="10">
        <v>2443016.0</v>
      </c>
      <c r="C2100" s="16" t="s">
        <v>1843</v>
      </c>
      <c r="D2100" s="12" t="s">
        <v>31</v>
      </c>
      <c r="E2100" s="13" t="s">
        <v>38</v>
      </c>
      <c r="F2100" s="14">
        <v>0.0020833333333333333</v>
      </c>
      <c r="G2100" s="21"/>
    </row>
    <row r="2101">
      <c r="A2101" s="4" t="s">
        <v>1834</v>
      </c>
      <c r="B2101" s="10">
        <v>2886118.0</v>
      </c>
      <c r="C2101" s="16" t="s">
        <v>1844</v>
      </c>
      <c r="D2101" s="12" t="s">
        <v>31</v>
      </c>
      <c r="E2101" s="13" t="s">
        <v>26</v>
      </c>
      <c r="F2101" s="14">
        <v>0.03935185185185185</v>
      </c>
      <c r="G2101" s="21"/>
    </row>
    <row r="2102">
      <c r="A2102" s="4" t="s">
        <v>1834</v>
      </c>
      <c r="B2102" s="10">
        <v>2885000.0</v>
      </c>
      <c r="C2102" s="16" t="s">
        <v>1845</v>
      </c>
      <c r="D2102" s="12" t="s">
        <v>31</v>
      </c>
      <c r="E2102" s="13" t="s">
        <v>26</v>
      </c>
      <c r="F2102" s="14">
        <v>0.03355324074074074</v>
      </c>
      <c r="G2102" s="21"/>
    </row>
    <row r="2103">
      <c r="A2103" s="4" t="s">
        <v>1834</v>
      </c>
      <c r="B2103" s="10">
        <v>2886000.0</v>
      </c>
      <c r="C2103" s="16" t="s">
        <v>1846</v>
      </c>
      <c r="D2103" s="12" t="s">
        <v>31</v>
      </c>
      <c r="E2103" s="13" t="s">
        <v>26</v>
      </c>
      <c r="F2103" s="14">
        <v>0.025138888888888888</v>
      </c>
      <c r="G2103" s="17"/>
    </row>
    <row r="2104">
      <c r="A2104" s="4" t="s">
        <v>1834</v>
      </c>
      <c r="B2104" s="10">
        <v>2880016.0</v>
      </c>
      <c r="C2104" s="16" t="s">
        <v>128</v>
      </c>
      <c r="D2104" s="12" t="s">
        <v>31</v>
      </c>
      <c r="E2104" s="13" t="s">
        <v>26</v>
      </c>
      <c r="F2104" s="14">
        <v>0.03934027777777778</v>
      </c>
      <c r="G2104" s="17"/>
    </row>
    <row r="2105">
      <c r="A2105" s="4" t="s">
        <v>1834</v>
      </c>
      <c r="B2105" s="10">
        <v>2893007.0</v>
      </c>
      <c r="C2105" s="16" t="s">
        <v>1847</v>
      </c>
      <c r="D2105" s="12" t="s">
        <v>31</v>
      </c>
      <c r="E2105" s="13" t="s">
        <v>26</v>
      </c>
      <c r="F2105" s="14">
        <v>0.025439814814814814</v>
      </c>
      <c r="G2105" s="21"/>
    </row>
    <row r="2106">
      <c r="A2106" s="4" t="s">
        <v>1834</v>
      </c>
      <c r="B2106" s="10">
        <v>2823257.0</v>
      </c>
      <c r="C2106" s="16" t="s">
        <v>1848</v>
      </c>
      <c r="D2106" s="12" t="s">
        <v>26</v>
      </c>
      <c r="E2106" s="13" t="s">
        <v>38</v>
      </c>
      <c r="F2106" s="14">
        <v>0.012766203703703703</v>
      </c>
      <c r="G2106" s="21"/>
    </row>
    <row r="2107">
      <c r="A2107" s="4" t="s">
        <v>1834</v>
      </c>
      <c r="B2107" s="10">
        <v>2825335.0</v>
      </c>
      <c r="C2107" s="16" t="s">
        <v>1771</v>
      </c>
      <c r="D2107" s="12" t="s">
        <v>26</v>
      </c>
      <c r="E2107" s="13" t="s">
        <v>38</v>
      </c>
      <c r="F2107" s="14">
        <v>0.01480324074074074</v>
      </c>
      <c r="G2107" s="21"/>
    </row>
    <row r="2108">
      <c r="A2108" s="4" t="s">
        <v>1834</v>
      </c>
      <c r="B2108" s="10">
        <v>2870085.0</v>
      </c>
      <c r="C2108" s="16" t="s">
        <v>1849</v>
      </c>
      <c r="D2108" s="12" t="s">
        <v>26</v>
      </c>
      <c r="E2108" s="13" t="s">
        <v>38</v>
      </c>
      <c r="F2108" s="14">
        <v>0.016342592592592593</v>
      </c>
      <c r="G2108" s="21"/>
    </row>
    <row r="2109">
      <c r="A2109" s="4" t="s">
        <v>1834</v>
      </c>
      <c r="B2109" s="10">
        <v>2823252.0</v>
      </c>
      <c r="C2109" s="16" t="s">
        <v>137</v>
      </c>
      <c r="D2109" s="12" t="s">
        <v>26</v>
      </c>
      <c r="E2109" s="13" t="s">
        <v>38</v>
      </c>
      <c r="F2109" s="14">
        <v>0.017719907407407406</v>
      </c>
      <c r="G2109" s="21"/>
    </row>
    <row r="2110">
      <c r="A2110" s="4" t="s">
        <v>1834</v>
      </c>
      <c r="B2110" s="10">
        <v>2833041.0</v>
      </c>
      <c r="C2110" s="16" t="s">
        <v>1850</v>
      </c>
      <c r="D2110" s="12" t="s">
        <v>26</v>
      </c>
      <c r="E2110" s="13" t="s">
        <v>38</v>
      </c>
      <c r="F2110" s="14">
        <v>0.04871527777777778</v>
      </c>
      <c r="G2110" s="21"/>
    </row>
    <row r="2111">
      <c r="A2111" s="4" t="s">
        <v>1834</v>
      </c>
      <c r="B2111" s="10">
        <v>2803042.0</v>
      </c>
      <c r="C2111" s="16" t="s">
        <v>1851</v>
      </c>
      <c r="D2111" s="12" t="s">
        <v>26</v>
      </c>
      <c r="E2111" s="13" t="s">
        <v>38</v>
      </c>
      <c r="F2111" s="14">
        <v>0.02304398148148148</v>
      </c>
      <c r="G2111" s="21"/>
    </row>
    <row r="2112">
      <c r="A2112" s="4" t="s">
        <v>1834</v>
      </c>
      <c r="B2112" s="10">
        <v>2876024.0</v>
      </c>
      <c r="C2112" s="16" t="s">
        <v>132</v>
      </c>
      <c r="D2112" s="12" t="s">
        <v>26</v>
      </c>
      <c r="E2112" s="13" t="s">
        <v>38</v>
      </c>
      <c r="F2112" s="14">
        <v>0.0190625</v>
      </c>
      <c r="G2112" s="21"/>
    </row>
    <row r="2113">
      <c r="A2113" s="4" t="s">
        <v>1834</v>
      </c>
      <c r="B2113" s="10">
        <v>794118.0</v>
      </c>
      <c r="C2113" s="16" t="s">
        <v>1030</v>
      </c>
      <c r="D2113" s="12" t="s">
        <v>26</v>
      </c>
      <c r="E2113" s="13" t="s">
        <v>38</v>
      </c>
      <c r="F2113" s="14">
        <v>0.03491898148148148</v>
      </c>
      <c r="G2113" s="21"/>
    </row>
    <row r="2114">
      <c r="A2114" s="4" t="s">
        <v>1834</v>
      </c>
      <c r="B2114" s="10">
        <v>2803040.0</v>
      </c>
      <c r="C2114" s="16" t="s">
        <v>1852</v>
      </c>
      <c r="D2114" s="12" t="s">
        <v>26</v>
      </c>
      <c r="E2114" s="13" t="s">
        <v>38</v>
      </c>
      <c r="F2114" s="14">
        <v>0.025231481481481483</v>
      </c>
      <c r="G2114" s="21"/>
    </row>
    <row r="2115">
      <c r="A2115" s="4" t="s">
        <v>1834</v>
      </c>
      <c r="B2115" s="10">
        <v>2812492.0</v>
      </c>
      <c r="C2115" s="16" t="s">
        <v>1769</v>
      </c>
      <c r="D2115" s="12" t="s">
        <v>26</v>
      </c>
      <c r="E2115" s="13" t="s">
        <v>38</v>
      </c>
      <c r="F2115" s="14">
        <v>0.02224537037037037</v>
      </c>
      <c r="G2115" s="21"/>
    </row>
    <row r="2116">
      <c r="A2116" s="4" t="s">
        <v>1834</v>
      </c>
      <c r="B2116" s="10">
        <v>2825340.0</v>
      </c>
      <c r="C2116" s="16" t="s">
        <v>1853</v>
      </c>
      <c r="D2116" s="12" t="s">
        <v>26</v>
      </c>
      <c r="E2116" s="13" t="s">
        <v>38</v>
      </c>
      <c r="F2116" s="14">
        <v>0.015462962962962963</v>
      </c>
      <c r="G2116" s="21"/>
    </row>
    <row r="2117">
      <c r="A2117" s="4" t="s">
        <v>1834</v>
      </c>
      <c r="B2117" s="10">
        <v>2873102.0</v>
      </c>
      <c r="C2117" s="16" t="s">
        <v>1854</v>
      </c>
      <c r="D2117" s="12" t="s">
        <v>26</v>
      </c>
      <c r="E2117" s="13" t="s">
        <v>38</v>
      </c>
      <c r="F2117" s="14">
        <v>0.028113425925925927</v>
      </c>
      <c r="G2117" s="21"/>
    </row>
    <row r="2118">
      <c r="A2118" s="4" t="s">
        <v>1834</v>
      </c>
      <c r="B2118" s="10">
        <v>2833042.0</v>
      </c>
      <c r="C2118" s="16" t="s">
        <v>1855</v>
      </c>
      <c r="D2118" s="12" t="s">
        <v>26</v>
      </c>
      <c r="E2118" s="13" t="s">
        <v>38</v>
      </c>
      <c r="F2118" s="14">
        <v>0.10055555555555555</v>
      </c>
      <c r="G2118" s="21"/>
    </row>
    <row r="2119">
      <c r="A2119" s="4" t="s">
        <v>1834</v>
      </c>
      <c r="B2119" s="10">
        <v>2804062.0</v>
      </c>
      <c r="C2119" s="16" t="s">
        <v>1856</v>
      </c>
      <c r="D2119" s="12" t="s">
        <v>26</v>
      </c>
      <c r="E2119" s="13" t="s">
        <v>38</v>
      </c>
      <c r="F2119" s="14">
        <v>0.014502314814814815</v>
      </c>
      <c r="G2119" s="21"/>
    </row>
    <row r="2120">
      <c r="A2120" s="4" t="s">
        <v>1834</v>
      </c>
      <c r="B2120" s="10">
        <v>2802031.0</v>
      </c>
      <c r="C2120" s="16" t="s">
        <v>1857</v>
      </c>
      <c r="D2120" s="12" t="s">
        <v>26</v>
      </c>
      <c r="E2120" s="13" t="s">
        <v>38</v>
      </c>
      <c r="F2120" s="14">
        <v>0.028009259259259258</v>
      </c>
      <c r="G2120" s="21"/>
    </row>
    <row r="2121">
      <c r="A2121" s="4" t="s">
        <v>1834</v>
      </c>
      <c r="B2121" s="10">
        <v>2823287.0</v>
      </c>
      <c r="C2121" s="16" t="s">
        <v>1858</v>
      </c>
      <c r="D2121" s="12" t="s">
        <v>26</v>
      </c>
      <c r="E2121" s="13" t="s">
        <v>38</v>
      </c>
      <c r="F2121" s="14">
        <v>0.01747685185185185</v>
      </c>
      <c r="G2121" s="21"/>
    </row>
    <row r="2122">
      <c r="A2122" s="4" t="s">
        <v>1834</v>
      </c>
      <c r="B2122" s="10">
        <v>2802032.0</v>
      </c>
      <c r="C2122" s="16" t="s">
        <v>1859</v>
      </c>
      <c r="D2122" s="12" t="s">
        <v>26</v>
      </c>
      <c r="E2122" s="13" t="s">
        <v>38</v>
      </c>
      <c r="F2122" s="14">
        <v>0.024583333333333332</v>
      </c>
      <c r="G2122" s="21"/>
    </row>
    <row r="2123">
      <c r="A2123" s="4" t="s">
        <v>1834</v>
      </c>
      <c r="B2123" s="10">
        <v>570966.0</v>
      </c>
      <c r="C2123" s="16" t="s">
        <v>256</v>
      </c>
      <c r="D2123" s="12" t="s">
        <v>26</v>
      </c>
      <c r="E2123" s="13" t="s">
        <v>38</v>
      </c>
      <c r="F2123" s="14">
        <v>0.04170138888888889</v>
      </c>
      <c r="G2123" s="21"/>
    </row>
    <row r="2124">
      <c r="A2124" s="4" t="s">
        <v>1834</v>
      </c>
      <c r="B2124" s="10">
        <v>2835073.0</v>
      </c>
      <c r="C2124" s="16" t="s">
        <v>1860</v>
      </c>
      <c r="D2124" s="12" t="s">
        <v>26</v>
      </c>
      <c r="E2124" s="13" t="s">
        <v>38</v>
      </c>
      <c r="F2124" s="14">
        <v>0.10400462962962963</v>
      </c>
      <c r="G2124" s="21"/>
    </row>
    <row r="2125">
      <c r="A2125" s="4" t="s">
        <v>1834</v>
      </c>
      <c r="B2125" s="10">
        <v>622054.0</v>
      </c>
      <c r="C2125" s="16" t="s">
        <v>255</v>
      </c>
      <c r="D2125" s="12" t="s">
        <v>26</v>
      </c>
      <c r="E2125" s="13" t="s">
        <v>38</v>
      </c>
      <c r="F2125" s="14">
        <v>0.04170138888888889</v>
      </c>
      <c r="G2125" s="21"/>
    </row>
    <row r="2126">
      <c r="A2126" s="4" t="s">
        <v>1834</v>
      </c>
      <c r="B2126" s="10">
        <v>2811713.0</v>
      </c>
      <c r="C2126" s="16" t="s">
        <v>135</v>
      </c>
      <c r="D2126" s="12" t="s">
        <v>26</v>
      </c>
      <c r="E2126" s="13" t="s">
        <v>38</v>
      </c>
      <c r="F2126" s="14">
        <v>0.016724537037037038</v>
      </c>
      <c r="G2126" s="21"/>
    </row>
    <row r="2127">
      <c r="A2127" s="4" t="s">
        <v>1834</v>
      </c>
      <c r="B2127" s="10">
        <v>2832004.0</v>
      </c>
      <c r="C2127" s="16" t="s">
        <v>1861</v>
      </c>
      <c r="D2127" s="12" t="s">
        <v>26</v>
      </c>
      <c r="E2127" s="13" t="s">
        <v>38</v>
      </c>
      <c r="F2127" s="14">
        <v>0.055185185185185184</v>
      </c>
      <c r="G2127" s="21"/>
    </row>
    <row r="2128">
      <c r="A2128" s="4" t="s">
        <v>1834</v>
      </c>
      <c r="B2128" s="10">
        <v>2864355.0</v>
      </c>
      <c r="C2128" s="16" t="s">
        <v>1862</v>
      </c>
      <c r="D2128" s="12" t="s">
        <v>26</v>
      </c>
      <c r="E2128" s="13" t="s">
        <v>38</v>
      </c>
      <c r="F2128" s="14">
        <v>0.06115740740740741</v>
      </c>
      <c r="G2128" s="21"/>
    </row>
    <row r="2129">
      <c r="A2129" s="4" t="s">
        <v>1834</v>
      </c>
      <c r="B2129" s="10">
        <v>2810626.0</v>
      </c>
      <c r="C2129" s="16" t="s">
        <v>134</v>
      </c>
      <c r="D2129" s="12" t="s">
        <v>26</v>
      </c>
      <c r="E2129" s="13" t="s">
        <v>38</v>
      </c>
      <c r="F2129" s="14">
        <v>0.014722222222222222</v>
      </c>
      <c r="G2129" s="21"/>
    </row>
    <row r="2130">
      <c r="A2130" s="4" t="s">
        <v>1834</v>
      </c>
      <c r="B2130" s="10">
        <v>2367359.0</v>
      </c>
      <c r="C2130" s="16" t="s">
        <v>1618</v>
      </c>
      <c r="D2130" s="12" t="s">
        <v>26</v>
      </c>
      <c r="E2130" s="13" t="s">
        <v>38</v>
      </c>
      <c r="F2130" s="14">
        <v>0.01925925925925926</v>
      </c>
      <c r="G2130" s="21"/>
    </row>
    <row r="2131">
      <c r="A2131" s="4" t="s">
        <v>1834</v>
      </c>
      <c r="B2131" s="10">
        <v>2878127.0</v>
      </c>
      <c r="C2131" s="16" t="s">
        <v>1619</v>
      </c>
      <c r="D2131" s="12" t="s">
        <v>26</v>
      </c>
      <c r="E2131" s="13" t="s">
        <v>38</v>
      </c>
      <c r="F2131" s="14">
        <v>0.032997685185185185</v>
      </c>
      <c r="G2131" s="21"/>
    </row>
    <row r="2132">
      <c r="A2132" s="4" t="s">
        <v>1834</v>
      </c>
      <c r="B2132" s="10">
        <v>2874215.0</v>
      </c>
      <c r="C2132" s="16" t="s">
        <v>1620</v>
      </c>
      <c r="D2132" s="12" t="s">
        <v>26</v>
      </c>
      <c r="E2132" s="13" t="s">
        <v>38</v>
      </c>
      <c r="F2132" s="14">
        <v>0.031041666666666665</v>
      </c>
      <c r="G2132" s="21"/>
    </row>
    <row r="2133">
      <c r="A2133" s="4" t="s">
        <v>1834</v>
      </c>
      <c r="B2133" s="10">
        <v>2875261.0</v>
      </c>
      <c r="C2133" s="16" t="s">
        <v>1621</v>
      </c>
      <c r="D2133" s="12" t="s">
        <v>26</v>
      </c>
      <c r="E2133" s="13" t="s">
        <v>38</v>
      </c>
      <c r="F2133" s="14">
        <v>0.03685185185185185</v>
      </c>
      <c r="G2133" s="21"/>
    </row>
    <row r="2134">
      <c r="A2134" s="4" t="s">
        <v>1834</v>
      </c>
      <c r="B2134" s="10">
        <v>2875262.0</v>
      </c>
      <c r="C2134" s="16" t="s">
        <v>1622</v>
      </c>
      <c r="D2134" s="12" t="s">
        <v>26</v>
      </c>
      <c r="E2134" s="13" t="s">
        <v>38</v>
      </c>
      <c r="F2134" s="14">
        <v>0.025092592592592593</v>
      </c>
      <c r="G2134" s="21"/>
    </row>
    <row r="2135">
      <c r="A2135" s="4" t="s">
        <v>1834</v>
      </c>
      <c r="B2135" s="10">
        <v>2875381.0</v>
      </c>
      <c r="C2135" s="16" t="s">
        <v>1623</v>
      </c>
      <c r="D2135" s="12" t="s">
        <v>26</v>
      </c>
      <c r="E2135" s="13" t="s">
        <v>38</v>
      </c>
      <c r="F2135" s="14">
        <v>0.011377314814814814</v>
      </c>
      <c r="G2135" s="21"/>
    </row>
    <row r="2136">
      <c r="A2136" s="4" t="s">
        <v>1834</v>
      </c>
      <c r="B2136" s="10">
        <v>2875382.0</v>
      </c>
      <c r="C2136" s="16" t="s">
        <v>1624</v>
      </c>
      <c r="D2136" s="12" t="s">
        <v>26</v>
      </c>
      <c r="E2136" s="13" t="s">
        <v>38</v>
      </c>
      <c r="F2136" s="14">
        <v>0.019965277777777776</v>
      </c>
      <c r="G2136" s="21"/>
    </row>
    <row r="2137">
      <c r="A2137" s="4" t="s">
        <v>1834</v>
      </c>
      <c r="B2137" s="10">
        <v>2876325.0</v>
      </c>
      <c r="C2137" s="16" t="s">
        <v>1625</v>
      </c>
      <c r="D2137" s="12" t="s">
        <v>26</v>
      </c>
      <c r="E2137" s="13" t="s">
        <v>38</v>
      </c>
      <c r="F2137" s="14">
        <v>0.01980324074074074</v>
      </c>
      <c r="G2137" s="21"/>
    </row>
    <row r="2138">
      <c r="A2138" s="4" t="s">
        <v>1834</v>
      </c>
      <c r="B2138" s="10">
        <v>2876326.0</v>
      </c>
      <c r="C2138" s="16" t="s">
        <v>1626</v>
      </c>
      <c r="D2138" s="12" t="s">
        <v>26</v>
      </c>
      <c r="E2138" s="13" t="s">
        <v>38</v>
      </c>
      <c r="F2138" s="14">
        <v>0.012835648148148148</v>
      </c>
      <c r="G2138" s="21"/>
    </row>
    <row r="2139">
      <c r="A2139" s="4" t="s">
        <v>1834</v>
      </c>
      <c r="B2139" s="10">
        <v>2877360.0</v>
      </c>
      <c r="C2139" s="16" t="s">
        <v>1627</v>
      </c>
      <c r="D2139" s="12" t="s">
        <v>26</v>
      </c>
      <c r="E2139" s="13" t="s">
        <v>38</v>
      </c>
      <c r="F2139" s="14">
        <v>0.007337962962962963</v>
      </c>
      <c r="G2139" s="21"/>
    </row>
    <row r="2140">
      <c r="A2140" s="4" t="s">
        <v>1834</v>
      </c>
      <c r="B2140" s="10">
        <v>2874216.0</v>
      </c>
      <c r="C2140" s="16" t="s">
        <v>1376</v>
      </c>
      <c r="D2140" s="12" t="s">
        <v>26</v>
      </c>
      <c r="E2140" s="13" t="s">
        <v>38</v>
      </c>
      <c r="F2140" s="14">
        <v>0.02375</v>
      </c>
      <c r="G2140" s="21"/>
    </row>
    <row r="2141">
      <c r="A2141" s="4" t="s">
        <v>1834</v>
      </c>
      <c r="B2141" s="10">
        <v>2885014.0</v>
      </c>
      <c r="C2141" s="16" t="s">
        <v>138</v>
      </c>
      <c r="D2141" s="12" t="s">
        <v>26</v>
      </c>
      <c r="E2141" s="13" t="s">
        <v>38</v>
      </c>
      <c r="F2141" s="14">
        <v>0.033900462962962966</v>
      </c>
      <c r="G2141" s="21"/>
    </row>
    <row r="2142">
      <c r="A2142" s="4" t="s">
        <v>1834</v>
      </c>
      <c r="B2142" s="10">
        <v>2878239.0</v>
      </c>
      <c r="C2142" s="16" t="s">
        <v>1628</v>
      </c>
      <c r="D2142" s="12" t="s">
        <v>26</v>
      </c>
      <c r="E2142" s="13" t="s">
        <v>38</v>
      </c>
      <c r="F2142" s="14">
        <v>0.038356481481481484</v>
      </c>
      <c r="G2142" s="21"/>
    </row>
    <row r="2143">
      <c r="A2143" s="4" t="s">
        <v>1834</v>
      </c>
      <c r="B2143" s="10">
        <v>2887335.0</v>
      </c>
      <c r="C2143" s="16" t="s">
        <v>351</v>
      </c>
      <c r="D2143" s="12" t="s">
        <v>26</v>
      </c>
      <c r="E2143" s="13" t="s">
        <v>38</v>
      </c>
      <c r="F2143" s="14">
        <v>0.01960648148148148</v>
      </c>
      <c r="G2143" s="21"/>
    </row>
    <row r="2144">
      <c r="A2144" s="4" t="s">
        <v>1834</v>
      </c>
      <c r="B2144" s="10">
        <v>2881185.0</v>
      </c>
      <c r="C2144" s="16" t="s">
        <v>1863</v>
      </c>
      <c r="D2144" s="12" t="s">
        <v>26</v>
      </c>
      <c r="E2144" s="13" t="s">
        <v>38</v>
      </c>
      <c r="F2144" s="14">
        <v>0.01392361111111111</v>
      </c>
      <c r="G2144" s="21"/>
    </row>
    <row r="2145">
      <c r="A2145" s="4" t="s">
        <v>1834</v>
      </c>
      <c r="B2145" s="10">
        <v>2881186.0</v>
      </c>
      <c r="C2145" s="16" t="s">
        <v>1864</v>
      </c>
      <c r="D2145" s="12" t="s">
        <v>26</v>
      </c>
      <c r="E2145" s="13" t="s">
        <v>38</v>
      </c>
      <c r="F2145" s="14">
        <v>0.010949074074074075</v>
      </c>
      <c r="G2145" s="21"/>
    </row>
    <row r="2146">
      <c r="A2146" s="4" t="s">
        <v>1834</v>
      </c>
      <c r="B2146" s="10">
        <v>2883153.0</v>
      </c>
      <c r="C2146" s="16" t="s">
        <v>1865</v>
      </c>
      <c r="D2146" s="12" t="s">
        <v>26</v>
      </c>
      <c r="E2146" s="13" t="s">
        <v>38</v>
      </c>
      <c r="F2146" s="14">
        <v>0.01994212962962963</v>
      </c>
      <c r="G2146" s="21"/>
    </row>
    <row r="2147">
      <c r="A2147" s="4" t="s">
        <v>1834</v>
      </c>
      <c r="B2147" s="10">
        <v>2887230.0</v>
      </c>
      <c r="C2147" s="16" t="s">
        <v>1866</v>
      </c>
      <c r="D2147" s="12" t="s">
        <v>26</v>
      </c>
      <c r="E2147" s="13" t="s">
        <v>38</v>
      </c>
      <c r="F2147" s="14">
        <v>0.046516203703703705</v>
      </c>
      <c r="G2147" s="21"/>
    </row>
    <row r="2148">
      <c r="A2148" s="4" t="s">
        <v>1834</v>
      </c>
      <c r="B2148" s="10">
        <v>2892006.0</v>
      </c>
      <c r="C2148" s="16" t="s">
        <v>1867</v>
      </c>
      <c r="D2148" s="12" t="s">
        <v>26</v>
      </c>
      <c r="E2148" s="13" t="s">
        <v>38</v>
      </c>
      <c r="F2148" s="14">
        <v>0.03690972222222222</v>
      </c>
      <c r="G2148" s="21"/>
    </row>
    <row r="2149">
      <c r="A2149" s="4" t="s">
        <v>1834</v>
      </c>
      <c r="B2149" s="10">
        <v>2895112.0</v>
      </c>
      <c r="C2149" s="16" t="s">
        <v>69</v>
      </c>
      <c r="D2149" s="12" t="s">
        <v>26</v>
      </c>
      <c r="E2149" s="13" t="s">
        <v>38</v>
      </c>
      <c r="F2149" s="14">
        <v>0.036284722222222225</v>
      </c>
      <c r="G2149" s="21"/>
    </row>
    <row r="2150">
      <c r="A2150" s="4" t="s">
        <v>1834</v>
      </c>
      <c r="B2150" s="10">
        <v>2890117.0</v>
      </c>
      <c r="C2150" s="16" t="s">
        <v>1636</v>
      </c>
      <c r="D2150" s="12" t="s">
        <v>26</v>
      </c>
      <c r="E2150" s="13" t="s">
        <v>38</v>
      </c>
      <c r="F2150" s="14">
        <v>0.032164351851851854</v>
      </c>
      <c r="G2150" s="21"/>
    </row>
    <row r="2151">
      <c r="A2151" s="4" t="s">
        <v>1834</v>
      </c>
      <c r="B2151" s="10">
        <v>2423319.0</v>
      </c>
      <c r="C2151" s="16" t="s">
        <v>1868</v>
      </c>
      <c r="D2151" s="12" t="s">
        <v>26</v>
      </c>
      <c r="E2151" s="13" t="s">
        <v>38</v>
      </c>
      <c r="F2151" s="14">
        <v>0.005659722222222222</v>
      </c>
      <c r="G2151" s="21"/>
    </row>
    <row r="2152">
      <c r="A2152" s="4" t="s">
        <v>1834</v>
      </c>
      <c r="B2152" s="10">
        <v>2424325.0</v>
      </c>
      <c r="C2152" s="16" t="s">
        <v>1869</v>
      </c>
      <c r="D2152" s="12" t="s">
        <v>26</v>
      </c>
      <c r="E2152" s="13" t="s">
        <v>38</v>
      </c>
      <c r="F2152" s="14">
        <v>0.007326388888888889</v>
      </c>
      <c r="G2152" s="21"/>
    </row>
    <row r="2153">
      <c r="A2153" s="4" t="s">
        <v>1834</v>
      </c>
      <c r="B2153" s="10">
        <v>2882183.0</v>
      </c>
      <c r="C2153" s="16" t="s">
        <v>1870</v>
      </c>
      <c r="D2153" s="12" t="s">
        <v>26</v>
      </c>
      <c r="E2153" s="13" t="s">
        <v>38</v>
      </c>
      <c r="F2153" s="14">
        <v>0.02980324074074074</v>
      </c>
      <c r="G2153" s="21"/>
    </row>
    <row r="2154">
      <c r="A2154" s="4" t="s">
        <v>1834</v>
      </c>
      <c r="B2154" s="10">
        <v>2889101.0</v>
      </c>
      <c r="C2154" s="16" t="s">
        <v>1871</v>
      </c>
      <c r="D2154" s="12" t="s">
        <v>26</v>
      </c>
      <c r="E2154" s="13" t="s">
        <v>38</v>
      </c>
      <c r="F2154" s="14">
        <v>0.026851851851851852</v>
      </c>
      <c r="G2154" s="21"/>
    </row>
    <row r="2155">
      <c r="A2155" s="4" t="s">
        <v>1834</v>
      </c>
      <c r="B2155" s="10">
        <v>2424324.0</v>
      </c>
      <c r="C2155" s="16" t="s">
        <v>142</v>
      </c>
      <c r="D2155" s="12" t="s">
        <v>26</v>
      </c>
      <c r="E2155" s="13" t="s">
        <v>38</v>
      </c>
      <c r="F2155" s="14">
        <v>0.005439814814814815</v>
      </c>
      <c r="G2155" s="21"/>
    </row>
    <row r="2156">
      <c r="A2156" s="4" t="s">
        <v>1834</v>
      </c>
      <c r="B2156" s="10">
        <v>3152728.0</v>
      </c>
      <c r="C2156" s="16" t="s">
        <v>267</v>
      </c>
      <c r="D2156" s="12" t="s">
        <v>26</v>
      </c>
      <c r="E2156" s="13" t="s">
        <v>38</v>
      </c>
      <c r="F2156" s="14">
        <v>0.02539351851851852</v>
      </c>
      <c r="G2156" s="21"/>
    </row>
    <row r="2157">
      <c r="A2157" s="4" t="s">
        <v>1834</v>
      </c>
      <c r="B2157" s="10">
        <v>3151765.0</v>
      </c>
      <c r="C2157" s="16" t="s">
        <v>1872</v>
      </c>
      <c r="D2157" s="12" t="s">
        <v>26</v>
      </c>
      <c r="E2157" s="13" t="s">
        <v>38</v>
      </c>
      <c r="F2157" s="14">
        <v>0.02454861111111111</v>
      </c>
      <c r="G2157" s="21"/>
    </row>
    <row r="2158">
      <c r="A2158" s="4" t="s">
        <v>1834</v>
      </c>
      <c r="B2158" s="10">
        <v>3155790.0</v>
      </c>
      <c r="C2158" s="16" t="s">
        <v>1873</v>
      </c>
      <c r="D2158" s="12" t="s">
        <v>26</v>
      </c>
      <c r="E2158" s="13" t="s">
        <v>38</v>
      </c>
      <c r="F2158" s="14">
        <v>0.024166666666666666</v>
      </c>
      <c r="G2158" s="21"/>
    </row>
    <row r="2159">
      <c r="A2159" s="4" t="s">
        <v>1834</v>
      </c>
      <c r="B2159" s="10">
        <v>3154786.0</v>
      </c>
      <c r="C2159" s="16" t="s">
        <v>1779</v>
      </c>
      <c r="D2159" s="12" t="s">
        <v>26</v>
      </c>
      <c r="E2159" s="13" t="s">
        <v>38</v>
      </c>
      <c r="F2159" s="14">
        <v>0.02710648148148148</v>
      </c>
      <c r="G2159" s="21"/>
    </row>
    <row r="2160">
      <c r="A2160" s="4" t="s">
        <v>1834</v>
      </c>
      <c r="B2160" s="10">
        <v>2424736.0</v>
      </c>
      <c r="C2160" s="16" t="s">
        <v>1874</v>
      </c>
      <c r="D2160" s="12" t="s">
        <v>26</v>
      </c>
      <c r="E2160" s="13" t="s">
        <v>38</v>
      </c>
      <c r="F2160" s="14">
        <v>0.04407407407407407</v>
      </c>
      <c r="G2160" s="21"/>
    </row>
    <row r="2161">
      <c r="A2161" s="4" t="s">
        <v>1834</v>
      </c>
      <c r="B2161" s="10">
        <v>2425284.0</v>
      </c>
      <c r="C2161" s="16" t="s">
        <v>1875</v>
      </c>
      <c r="D2161" s="12" t="s">
        <v>26</v>
      </c>
      <c r="E2161" s="13" t="s">
        <v>38</v>
      </c>
      <c r="F2161" s="14">
        <v>0.006354166666666667</v>
      </c>
      <c r="G2161" s="21"/>
    </row>
    <row r="2162">
      <c r="A2162" s="4" t="s">
        <v>1834</v>
      </c>
      <c r="B2162" s="10">
        <v>3004700.0</v>
      </c>
      <c r="C2162" s="16" t="s">
        <v>1876</v>
      </c>
      <c r="D2162" s="12" t="s">
        <v>26</v>
      </c>
      <c r="E2162" s="13" t="s">
        <v>38</v>
      </c>
      <c r="F2162" s="14">
        <v>0.01611111111111111</v>
      </c>
      <c r="G2162" s="21"/>
    </row>
    <row r="2163">
      <c r="A2163" s="4" t="s">
        <v>1834</v>
      </c>
      <c r="B2163" s="10">
        <v>3006179.0</v>
      </c>
      <c r="C2163" s="16" t="s">
        <v>1877</v>
      </c>
      <c r="D2163" s="12" t="s">
        <v>26</v>
      </c>
      <c r="E2163" s="13" t="s">
        <v>38</v>
      </c>
      <c r="F2163" s="14">
        <v>0.03826388888888889</v>
      </c>
      <c r="G2163" s="21"/>
    </row>
    <row r="2164">
      <c r="A2164" s="4" t="s">
        <v>1834</v>
      </c>
      <c r="B2164" s="10">
        <v>3007151.0</v>
      </c>
      <c r="C2164" s="16" t="s">
        <v>1878</v>
      </c>
      <c r="D2164" s="12" t="s">
        <v>26</v>
      </c>
      <c r="E2164" s="13" t="s">
        <v>38</v>
      </c>
      <c r="F2164" s="14">
        <v>0.010289351851851852</v>
      </c>
      <c r="G2164" s="21"/>
    </row>
    <row r="2165">
      <c r="A2165" s="4" t="s">
        <v>1834</v>
      </c>
      <c r="B2165" s="10">
        <v>3013333.0</v>
      </c>
      <c r="C2165" s="16" t="s">
        <v>1879</v>
      </c>
      <c r="D2165" s="12" t="s">
        <v>26</v>
      </c>
      <c r="E2165" s="13" t="s">
        <v>38</v>
      </c>
      <c r="F2165" s="14">
        <v>0.015509259259259259</v>
      </c>
      <c r="G2165" s="21"/>
    </row>
    <row r="2166">
      <c r="A2166" s="4" t="s">
        <v>1834</v>
      </c>
      <c r="B2166" s="10">
        <v>3010525.0</v>
      </c>
      <c r="C2166" s="16" t="s">
        <v>1780</v>
      </c>
      <c r="D2166" s="12" t="s">
        <v>26</v>
      </c>
      <c r="E2166" s="13" t="s">
        <v>38</v>
      </c>
      <c r="F2166" s="14">
        <v>0.03876157407407407</v>
      </c>
      <c r="G2166" s="21"/>
    </row>
    <row r="2167">
      <c r="A2167" s="4" t="s">
        <v>1834</v>
      </c>
      <c r="B2167" s="10">
        <v>3010972.0</v>
      </c>
      <c r="C2167" s="16" t="s">
        <v>145</v>
      </c>
      <c r="D2167" s="12" t="s">
        <v>26</v>
      </c>
      <c r="E2167" s="13" t="s">
        <v>38</v>
      </c>
      <c r="F2167" s="14">
        <v>0.012523148148148148</v>
      </c>
      <c r="G2167" s="21"/>
    </row>
    <row r="2168">
      <c r="A2168" s="4" t="s">
        <v>1834</v>
      </c>
      <c r="B2168" s="10">
        <v>3158741.0</v>
      </c>
      <c r="C2168" s="16" t="s">
        <v>1536</v>
      </c>
      <c r="D2168" s="12" t="s">
        <v>26</v>
      </c>
      <c r="E2168" s="13" t="s">
        <v>38</v>
      </c>
      <c r="F2168" s="14">
        <v>0.026539351851851852</v>
      </c>
      <c r="G2168" s="21"/>
    </row>
    <row r="2169">
      <c r="A2169" s="4" t="s">
        <v>1834</v>
      </c>
      <c r="B2169" s="10">
        <v>3006798.0</v>
      </c>
      <c r="C2169" s="16" t="s">
        <v>1880</v>
      </c>
      <c r="D2169" s="12" t="s">
        <v>26</v>
      </c>
      <c r="E2169" s="13" t="s">
        <v>38</v>
      </c>
      <c r="F2169" s="14">
        <v>0.017083333333333332</v>
      </c>
      <c r="G2169" s="21"/>
    </row>
    <row r="2170">
      <c r="A2170" s="4" t="s">
        <v>1834</v>
      </c>
      <c r="B2170" s="10">
        <v>3010973.0</v>
      </c>
      <c r="C2170" s="16" t="s">
        <v>1881</v>
      </c>
      <c r="D2170" s="12" t="s">
        <v>26</v>
      </c>
      <c r="E2170" s="13" t="s">
        <v>38</v>
      </c>
      <c r="F2170" s="14">
        <v>0.022858796296296297</v>
      </c>
      <c r="G2170" s="21"/>
    </row>
    <row r="2171">
      <c r="A2171" s="4" t="s">
        <v>1834</v>
      </c>
      <c r="B2171" s="10">
        <v>3011747.0</v>
      </c>
      <c r="C2171" s="16" t="s">
        <v>1882</v>
      </c>
      <c r="D2171" s="12" t="s">
        <v>26</v>
      </c>
      <c r="E2171" s="13" t="s">
        <v>38</v>
      </c>
      <c r="F2171" s="14">
        <v>0.01664351851851852</v>
      </c>
      <c r="G2171" s="21"/>
    </row>
    <row r="2172">
      <c r="A2172" s="4" t="s">
        <v>1834</v>
      </c>
      <c r="B2172" s="10">
        <v>2448226.0</v>
      </c>
      <c r="C2172" s="16" t="s">
        <v>1883</v>
      </c>
      <c r="D2172" s="12" t="s">
        <v>26</v>
      </c>
      <c r="E2172" s="13" t="s">
        <v>38</v>
      </c>
      <c r="F2172" s="14">
        <v>0.04488425925925926</v>
      </c>
      <c r="G2172" s="21"/>
    </row>
    <row r="2173">
      <c r="A2173" s="4" t="s">
        <v>1834</v>
      </c>
      <c r="B2173" s="10">
        <v>2449167.0</v>
      </c>
      <c r="C2173" s="16" t="s">
        <v>1884</v>
      </c>
      <c r="D2173" s="12" t="s">
        <v>26</v>
      </c>
      <c r="E2173" s="13" t="s">
        <v>38</v>
      </c>
      <c r="F2173" s="14">
        <v>0.02539351851851852</v>
      </c>
      <c r="G2173" s="21"/>
    </row>
    <row r="2174">
      <c r="A2174" s="4" t="s">
        <v>1834</v>
      </c>
      <c r="B2174" s="10">
        <v>2450159.0</v>
      </c>
      <c r="C2174" s="16" t="s">
        <v>1885</v>
      </c>
      <c r="D2174" s="12" t="s">
        <v>26</v>
      </c>
      <c r="E2174" s="13" t="s">
        <v>38</v>
      </c>
      <c r="F2174" s="14">
        <v>0.03071759259259259</v>
      </c>
      <c r="G2174" s="21"/>
    </row>
    <row r="2175">
      <c r="A2175" s="4" t="s">
        <v>1834</v>
      </c>
      <c r="B2175" s="10">
        <v>3006556.0</v>
      </c>
      <c r="C2175" s="16" t="s">
        <v>1886</v>
      </c>
      <c r="D2175" s="12" t="s">
        <v>26</v>
      </c>
      <c r="E2175" s="13" t="s">
        <v>38</v>
      </c>
      <c r="F2175" s="14">
        <v>0.013090277777777777</v>
      </c>
      <c r="G2175" s="21"/>
    </row>
    <row r="2176">
      <c r="A2176" s="4" t="s">
        <v>1834</v>
      </c>
      <c r="B2176" s="10">
        <v>3007802.0</v>
      </c>
      <c r="C2176" s="16" t="s">
        <v>1887</v>
      </c>
      <c r="D2176" s="12" t="s">
        <v>26</v>
      </c>
      <c r="E2176" s="13" t="s">
        <v>38</v>
      </c>
      <c r="F2176" s="14">
        <v>0.019560185185185184</v>
      </c>
      <c r="G2176" s="21"/>
    </row>
    <row r="2177">
      <c r="A2177" s="4" t="s">
        <v>1834</v>
      </c>
      <c r="B2177" s="10">
        <v>3008783.0</v>
      </c>
      <c r="C2177" s="16" t="s">
        <v>1888</v>
      </c>
      <c r="D2177" s="12" t="s">
        <v>26</v>
      </c>
      <c r="E2177" s="13" t="s">
        <v>38</v>
      </c>
      <c r="F2177" s="14">
        <v>0.02148148148148148</v>
      </c>
      <c r="G2177" s="21"/>
    </row>
    <row r="2178">
      <c r="A2178" s="4" t="s">
        <v>1834</v>
      </c>
      <c r="B2178" s="10">
        <v>3008784.0</v>
      </c>
      <c r="C2178" s="16" t="s">
        <v>1889</v>
      </c>
      <c r="D2178" s="12" t="s">
        <v>26</v>
      </c>
      <c r="E2178" s="13" t="s">
        <v>38</v>
      </c>
      <c r="F2178" s="14">
        <v>0.019895833333333335</v>
      </c>
      <c r="G2178" s="21"/>
    </row>
    <row r="2179">
      <c r="A2179" s="4" t="s">
        <v>1834</v>
      </c>
      <c r="B2179" s="10">
        <v>3010974.0</v>
      </c>
      <c r="C2179" s="16" t="s">
        <v>1890</v>
      </c>
      <c r="D2179" s="12" t="s">
        <v>26</v>
      </c>
      <c r="E2179" s="13" t="s">
        <v>38</v>
      </c>
      <c r="F2179" s="14">
        <v>0.02232638888888889</v>
      </c>
      <c r="G2179" s="21"/>
    </row>
    <row r="2180">
      <c r="A2180" s="4" t="s">
        <v>1834</v>
      </c>
      <c r="B2180" s="10">
        <v>2870086.0</v>
      </c>
      <c r="C2180" s="16" t="s">
        <v>1891</v>
      </c>
      <c r="D2180" s="12" t="s">
        <v>26</v>
      </c>
      <c r="E2180" s="13" t="s">
        <v>19</v>
      </c>
      <c r="F2180" s="14">
        <v>0.06752314814814815</v>
      </c>
      <c r="G2180" s="21"/>
    </row>
    <row r="2181">
      <c r="A2181" s="4" t="s">
        <v>1834</v>
      </c>
      <c r="B2181" s="10">
        <v>659269.0</v>
      </c>
      <c r="C2181" s="16" t="s">
        <v>149</v>
      </c>
      <c r="D2181" s="12" t="s">
        <v>26</v>
      </c>
      <c r="E2181" s="13" t="s">
        <v>19</v>
      </c>
      <c r="F2181" s="14">
        <v>0.04026620370370371</v>
      </c>
      <c r="G2181" s="21"/>
    </row>
    <row r="2182">
      <c r="A2182" s="4" t="s">
        <v>1834</v>
      </c>
      <c r="B2182" s="10">
        <v>2212156.0</v>
      </c>
      <c r="C2182" s="16" t="s">
        <v>1892</v>
      </c>
      <c r="D2182" s="12" t="s">
        <v>26</v>
      </c>
      <c r="E2182" s="13" t="s">
        <v>19</v>
      </c>
      <c r="F2182" s="14">
        <v>0.060787037037037035</v>
      </c>
      <c r="G2182" s="21"/>
    </row>
    <row r="2183">
      <c r="A2183" s="4" t="s">
        <v>1834</v>
      </c>
      <c r="B2183" s="10">
        <v>2848327.0</v>
      </c>
      <c r="C2183" s="16" t="s">
        <v>1703</v>
      </c>
      <c r="D2183" s="12" t="s">
        <v>26</v>
      </c>
      <c r="E2183" s="13" t="s">
        <v>19</v>
      </c>
      <c r="F2183" s="14">
        <v>0.028391203703703703</v>
      </c>
      <c r="G2183" s="21"/>
    </row>
    <row r="2184">
      <c r="A2184" s="4" t="s">
        <v>1834</v>
      </c>
      <c r="B2184" s="10">
        <v>2865087.0</v>
      </c>
      <c r="C2184" s="16" t="s">
        <v>1330</v>
      </c>
      <c r="D2184" s="12" t="s">
        <v>26</v>
      </c>
      <c r="E2184" s="13" t="s">
        <v>15</v>
      </c>
      <c r="F2184" s="14">
        <v>0.028136574074074074</v>
      </c>
      <c r="G2184" s="21"/>
    </row>
    <row r="2185">
      <c r="A2185" s="4" t="s">
        <v>1834</v>
      </c>
      <c r="B2185" s="10">
        <v>636109.0</v>
      </c>
      <c r="C2185" s="16" t="s">
        <v>1893</v>
      </c>
      <c r="D2185" s="12" t="s">
        <v>26</v>
      </c>
      <c r="E2185" s="13" t="s">
        <v>15</v>
      </c>
      <c r="F2185" s="14">
        <v>0.028761574074074075</v>
      </c>
      <c r="G2185" s="21"/>
    </row>
    <row r="2186">
      <c r="A2186" s="4" t="s">
        <v>1834</v>
      </c>
      <c r="B2186" s="10">
        <v>5015870.0</v>
      </c>
      <c r="C2186" s="16" t="s">
        <v>1894</v>
      </c>
      <c r="D2186" s="12" t="s">
        <v>26</v>
      </c>
      <c r="E2186" s="13" t="s">
        <v>15</v>
      </c>
      <c r="F2186" s="14">
        <v>0.009143518518518518</v>
      </c>
      <c r="G2186" s="21"/>
    </row>
    <row r="2187">
      <c r="A2187" s="4" t="s">
        <v>1834</v>
      </c>
      <c r="B2187" s="10">
        <v>769279.0</v>
      </c>
      <c r="C2187" s="16" t="s">
        <v>1048</v>
      </c>
      <c r="D2187" s="12" t="s">
        <v>26</v>
      </c>
      <c r="E2187" s="13" t="s">
        <v>15</v>
      </c>
      <c r="F2187" s="14">
        <v>0.03405092592592593</v>
      </c>
      <c r="G2187" s="21"/>
    </row>
    <row r="2188">
      <c r="A2188" s="4" t="s">
        <v>1834</v>
      </c>
      <c r="B2188" s="10">
        <v>2823579.0</v>
      </c>
      <c r="C2188" s="16" t="s">
        <v>130</v>
      </c>
      <c r="D2188" s="12" t="s">
        <v>26</v>
      </c>
      <c r="E2188" s="13" t="s">
        <v>109</v>
      </c>
      <c r="F2188" s="14">
        <v>0.022662037037037036</v>
      </c>
      <c r="G2188" s="21"/>
    </row>
    <row r="2189">
      <c r="A2189" s="4" t="s">
        <v>1834</v>
      </c>
      <c r="B2189" s="10">
        <v>3004701.0</v>
      </c>
      <c r="C2189" s="16" t="s">
        <v>1895</v>
      </c>
      <c r="D2189" s="12" t="s">
        <v>26</v>
      </c>
      <c r="E2189" s="13" t="s">
        <v>26</v>
      </c>
      <c r="F2189" s="14">
        <v>0.011840277777777778</v>
      </c>
      <c r="G2189" s="21"/>
    </row>
    <row r="2190">
      <c r="A2190" s="4" t="s">
        <v>1834</v>
      </c>
      <c r="B2190" s="10">
        <v>2421929.0</v>
      </c>
      <c r="C2190" s="16" t="s">
        <v>1896</v>
      </c>
      <c r="D2190" s="12" t="s">
        <v>26</v>
      </c>
      <c r="E2190" s="13" t="s">
        <v>26</v>
      </c>
      <c r="F2190" s="14">
        <v>0.024907407407407406</v>
      </c>
      <c r="G2190" s="21"/>
    </row>
    <row r="2191">
      <c r="A2191" s="4" t="s">
        <v>1834</v>
      </c>
      <c r="B2191" s="10">
        <v>3006796.0</v>
      </c>
      <c r="C2191" s="16" t="s">
        <v>1897</v>
      </c>
      <c r="D2191" s="12" t="s">
        <v>26</v>
      </c>
      <c r="E2191" s="13" t="s">
        <v>26</v>
      </c>
      <c r="F2191" s="14">
        <v>0.01804398148148148</v>
      </c>
      <c r="G2191" s="21"/>
    </row>
    <row r="2192">
      <c r="A2192" s="4" t="s">
        <v>1834</v>
      </c>
      <c r="B2192" s="10">
        <v>3008556.0</v>
      </c>
      <c r="C2192" s="16" t="s">
        <v>1898</v>
      </c>
      <c r="D2192" s="12" t="s">
        <v>26</v>
      </c>
      <c r="E2192" s="13" t="s">
        <v>26</v>
      </c>
      <c r="F2192" s="14">
        <v>0.01734953703703704</v>
      </c>
      <c r="G2192" s="21"/>
    </row>
    <row r="2193">
      <c r="A2193" s="4" t="s">
        <v>1834</v>
      </c>
      <c r="B2193" s="10">
        <v>3010523.0</v>
      </c>
      <c r="C2193" s="16" t="s">
        <v>1899</v>
      </c>
      <c r="D2193" s="12" t="s">
        <v>26</v>
      </c>
      <c r="E2193" s="13" t="s">
        <v>26</v>
      </c>
      <c r="F2193" s="14">
        <v>0.017199074074074075</v>
      </c>
      <c r="G2193" s="21"/>
    </row>
    <row r="2194">
      <c r="A2194" s="4" t="s">
        <v>1834</v>
      </c>
      <c r="B2194" s="10">
        <v>3011514.0</v>
      </c>
      <c r="C2194" s="16" t="s">
        <v>1900</v>
      </c>
      <c r="D2194" s="12" t="s">
        <v>26</v>
      </c>
      <c r="E2194" s="13" t="s">
        <v>26</v>
      </c>
      <c r="F2194" s="14">
        <v>0.012962962962962963</v>
      </c>
      <c r="G2194" s="21"/>
    </row>
    <row r="2195">
      <c r="A2195" s="4" t="s">
        <v>1834</v>
      </c>
      <c r="B2195" s="10">
        <v>3013039.0</v>
      </c>
      <c r="C2195" s="16" t="s">
        <v>1901</v>
      </c>
      <c r="D2195" s="12" t="s">
        <v>26</v>
      </c>
      <c r="E2195" s="13" t="s">
        <v>26</v>
      </c>
      <c r="F2195" s="14">
        <v>0.013402777777777777</v>
      </c>
      <c r="G2195" s="21"/>
    </row>
    <row r="2196">
      <c r="A2196" s="4" t="s">
        <v>1834</v>
      </c>
      <c r="B2196" s="10">
        <v>3013040.0</v>
      </c>
      <c r="C2196" s="16" t="s">
        <v>1902</v>
      </c>
      <c r="D2196" s="12" t="s">
        <v>26</v>
      </c>
      <c r="E2196" s="13" t="s">
        <v>26</v>
      </c>
      <c r="F2196" s="14">
        <v>0.014918981481481481</v>
      </c>
      <c r="G2196" s="21"/>
    </row>
    <row r="2197">
      <c r="A2197" s="4" t="s">
        <v>1834</v>
      </c>
      <c r="B2197" s="10">
        <v>3016503.0</v>
      </c>
      <c r="C2197" s="16" t="s">
        <v>1903</v>
      </c>
      <c r="D2197" s="12" t="s">
        <v>26</v>
      </c>
      <c r="E2197" s="13" t="s">
        <v>26</v>
      </c>
      <c r="F2197" s="14">
        <v>0.013541666666666667</v>
      </c>
      <c r="G2197" s="21"/>
    </row>
    <row r="2198">
      <c r="A2198" s="4" t="s">
        <v>1834</v>
      </c>
      <c r="B2198" s="10">
        <v>3160290.0</v>
      </c>
      <c r="C2198" s="16" t="s">
        <v>1904</v>
      </c>
      <c r="D2198" s="12" t="s">
        <v>26</v>
      </c>
      <c r="E2198" s="13" t="s">
        <v>26</v>
      </c>
      <c r="F2198" s="14">
        <v>0.022453703703703705</v>
      </c>
      <c r="G2198" s="21"/>
    </row>
    <row r="2199">
      <c r="A2199" s="4" t="s">
        <v>1834</v>
      </c>
      <c r="B2199" s="10">
        <v>444524.0</v>
      </c>
      <c r="C2199" s="16" t="s">
        <v>1905</v>
      </c>
      <c r="D2199" s="12" t="s">
        <v>26</v>
      </c>
      <c r="E2199" s="13" t="s">
        <v>26</v>
      </c>
      <c r="F2199" s="14">
        <v>0.027372685185185184</v>
      </c>
      <c r="G2199" s="21"/>
    </row>
    <row r="2200">
      <c r="A2200" s="4" t="s">
        <v>1834</v>
      </c>
      <c r="B2200" s="10">
        <v>669533.0</v>
      </c>
      <c r="C2200" s="16" t="s">
        <v>662</v>
      </c>
      <c r="D2200" s="12" t="s">
        <v>26</v>
      </c>
      <c r="E2200" s="13" t="s">
        <v>26</v>
      </c>
      <c r="F2200" s="14">
        <v>0.014421296296296297</v>
      </c>
      <c r="G2200" s="21"/>
    </row>
    <row r="2201">
      <c r="A2201" s="4" t="s">
        <v>1834</v>
      </c>
      <c r="B2201" s="10">
        <v>2817014.0</v>
      </c>
      <c r="C2201" s="16" t="s">
        <v>1906</v>
      </c>
      <c r="D2201" s="12" t="s">
        <v>26</v>
      </c>
      <c r="E2201" s="13" t="s">
        <v>26</v>
      </c>
      <c r="F2201" s="14">
        <v>0.02636574074074074</v>
      </c>
      <c r="G2201" s="21"/>
    </row>
    <row r="2202">
      <c r="A2202" s="4" t="s">
        <v>1834</v>
      </c>
      <c r="B2202" s="10">
        <v>2315933.0</v>
      </c>
      <c r="C2202" s="16" t="s">
        <v>1907</v>
      </c>
      <c r="D2202" s="12" t="s">
        <v>26</v>
      </c>
      <c r="E2202" s="13" t="s">
        <v>26</v>
      </c>
      <c r="F2202" s="14">
        <v>0.012430555555555556</v>
      </c>
      <c r="G2202" s="21"/>
    </row>
    <row r="2203">
      <c r="A2203" s="4" t="s">
        <v>1834</v>
      </c>
      <c r="B2203" s="10">
        <v>721912.0</v>
      </c>
      <c r="C2203" s="16" t="s">
        <v>1908</v>
      </c>
      <c r="D2203" s="12" t="s">
        <v>26</v>
      </c>
      <c r="E2203" s="13" t="s">
        <v>26</v>
      </c>
      <c r="F2203" s="14">
        <v>0.1174074074074074</v>
      </c>
      <c r="G2203" s="21"/>
    </row>
    <row r="2204">
      <c r="A2204" s="4" t="s">
        <v>1834</v>
      </c>
      <c r="B2204" s="10">
        <v>2243046.0</v>
      </c>
      <c r="C2204" s="16" t="s">
        <v>1909</v>
      </c>
      <c r="D2204" s="12" t="s">
        <v>26</v>
      </c>
      <c r="E2204" s="13" t="s">
        <v>26</v>
      </c>
      <c r="F2204" s="14">
        <v>0.005775462962962963</v>
      </c>
      <c r="G2204" s="21"/>
    </row>
    <row r="2205">
      <c r="A2205" s="4" t="s">
        <v>1834</v>
      </c>
      <c r="B2205" s="10">
        <v>2841516.0</v>
      </c>
      <c r="C2205" s="16" t="s">
        <v>88</v>
      </c>
      <c r="D2205" s="12" t="s">
        <v>26</v>
      </c>
      <c r="E2205" s="13" t="s">
        <v>26</v>
      </c>
      <c r="F2205" s="14">
        <v>0.01980324074074074</v>
      </c>
      <c r="G2205" s="21"/>
    </row>
    <row r="2206">
      <c r="A2206" s="4" t="s">
        <v>1834</v>
      </c>
      <c r="B2206" s="10">
        <v>2833081.0</v>
      </c>
      <c r="C2206" s="16" t="s">
        <v>1910</v>
      </c>
      <c r="D2206" s="12" t="s">
        <v>26</v>
      </c>
      <c r="E2206" s="13" t="s">
        <v>26</v>
      </c>
      <c r="F2206" s="14">
        <v>0.04474537037037037</v>
      </c>
      <c r="G2206" s="21"/>
    </row>
    <row r="2207">
      <c r="A2207" s="4" t="s">
        <v>1834</v>
      </c>
      <c r="B2207" s="10">
        <v>2822423.0</v>
      </c>
      <c r="C2207" s="16" t="s">
        <v>1911</v>
      </c>
      <c r="D2207" s="12" t="s">
        <v>26</v>
      </c>
      <c r="E2207" s="13" t="s">
        <v>26</v>
      </c>
      <c r="F2207" s="14">
        <v>0.030046296296296297</v>
      </c>
      <c r="G2207" s="21"/>
    </row>
    <row r="2208">
      <c r="A2208" s="4" t="s">
        <v>1834</v>
      </c>
      <c r="B2208" s="10">
        <v>704110.0</v>
      </c>
      <c r="C2208" s="16" t="s">
        <v>1789</v>
      </c>
      <c r="D2208" s="12" t="s">
        <v>26</v>
      </c>
      <c r="E2208" s="13" t="s">
        <v>26</v>
      </c>
      <c r="F2208" s="14">
        <v>0.027800925925925927</v>
      </c>
      <c r="G2208" s="21"/>
    </row>
    <row r="2209">
      <c r="A2209" s="4" t="s">
        <v>1834</v>
      </c>
      <c r="B2209" s="10">
        <v>751311.0</v>
      </c>
      <c r="C2209" s="16" t="s">
        <v>1912</v>
      </c>
      <c r="D2209" s="12" t="s">
        <v>26</v>
      </c>
      <c r="E2209" s="13" t="s">
        <v>26</v>
      </c>
      <c r="F2209" s="14">
        <v>0.04386574074074074</v>
      </c>
      <c r="G2209" s="21"/>
    </row>
    <row r="2210">
      <c r="A2210" s="4" t="s">
        <v>1834</v>
      </c>
      <c r="B2210" s="10">
        <v>786350.0</v>
      </c>
      <c r="C2210" s="16" t="s">
        <v>1913</v>
      </c>
      <c r="D2210" s="12" t="s">
        <v>26</v>
      </c>
      <c r="E2210" s="13" t="s">
        <v>26</v>
      </c>
      <c r="F2210" s="14">
        <v>0.035925925925925924</v>
      </c>
      <c r="G2210" s="21"/>
    </row>
    <row r="2211">
      <c r="A2211" s="4" t="s">
        <v>1834</v>
      </c>
      <c r="B2211" s="10">
        <v>802831.0</v>
      </c>
      <c r="C2211" s="16" t="s">
        <v>1914</v>
      </c>
      <c r="D2211" s="12" t="s">
        <v>26</v>
      </c>
      <c r="E2211" s="13" t="s">
        <v>26</v>
      </c>
      <c r="F2211" s="14">
        <v>0.047928240740740743</v>
      </c>
      <c r="G2211" s="21"/>
    </row>
    <row r="2212">
      <c r="A2212" s="4" t="s">
        <v>1834</v>
      </c>
      <c r="B2212" s="10">
        <v>794115.0</v>
      </c>
      <c r="C2212" s="16" t="s">
        <v>1915</v>
      </c>
      <c r="D2212" s="12" t="s">
        <v>26</v>
      </c>
      <c r="E2212" s="13" t="s">
        <v>26</v>
      </c>
      <c r="F2212" s="14">
        <v>0.08591435185185185</v>
      </c>
      <c r="G2212" s="21"/>
    </row>
    <row r="2213">
      <c r="A2213" s="4" t="s">
        <v>1834</v>
      </c>
      <c r="B2213" s="10">
        <v>3114007.0</v>
      </c>
      <c r="C2213" s="16" t="s">
        <v>1670</v>
      </c>
      <c r="D2213" s="12" t="s">
        <v>26</v>
      </c>
      <c r="E2213" s="13" t="s">
        <v>26</v>
      </c>
      <c r="F2213" s="14">
        <v>0.028703703703703703</v>
      </c>
      <c r="G2213" s="21"/>
    </row>
    <row r="2214">
      <c r="A2214" s="4" t="s">
        <v>1834</v>
      </c>
      <c r="B2214" s="10">
        <v>2883154.0</v>
      </c>
      <c r="C2214" s="16" t="s">
        <v>1916</v>
      </c>
      <c r="D2214" s="12" t="s">
        <v>26</v>
      </c>
      <c r="E2214" s="13" t="s">
        <v>26</v>
      </c>
      <c r="F2214" s="14">
        <v>0.01685185185185185</v>
      </c>
      <c r="G2214" s="21"/>
    </row>
    <row r="2215">
      <c r="A2215" s="4" t="s">
        <v>1834</v>
      </c>
      <c r="B2215" s="10">
        <v>2883208.0</v>
      </c>
      <c r="C2215" s="16" t="s">
        <v>155</v>
      </c>
      <c r="D2215" s="12" t="s">
        <v>26</v>
      </c>
      <c r="E2215" s="13" t="s">
        <v>26</v>
      </c>
      <c r="F2215" s="14">
        <v>0.01238425925925926</v>
      </c>
      <c r="G2215" s="21"/>
    </row>
    <row r="2216">
      <c r="A2216" s="4" t="s">
        <v>1834</v>
      </c>
      <c r="B2216" s="10">
        <v>2887258.0</v>
      </c>
      <c r="C2216" s="16" t="s">
        <v>156</v>
      </c>
      <c r="D2216" s="12" t="s">
        <v>26</v>
      </c>
      <c r="E2216" s="13" t="s">
        <v>26</v>
      </c>
      <c r="F2216" s="14">
        <v>0.04346064814814815</v>
      </c>
      <c r="G2216" s="21"/>
    </row>
    <row r="2217">
      <c r="A2217" s="4" t="s">
        <v>1834</v>
      </c>
      <c r="B2217" s="10">
        <v>2895102.0</v>
      </c>
      <c r="C2217" s="16" t="s">
        <v>98</v>
      </c>
      <c r="D2217" s="12" t="s">
        <v>26</v>
      </c>
      <c r="E2217" s="13" t="s">
        <v>26</v>
      </c>
      <c r="F2217" s="14">
        <v>0.03596064814814815</v>
      </c>
      <c r="G2217" s="21"/>
    </row>
    <row r="2218">
      <c r="A2218" s="4" t="s">
        <v>1834</v>
      </c>
      <c r="B2218" s="10">
        <v>2873211.0</v>
      </c>
      <c r="C2218" s="16" t="s">
        <v>1800</v>
      </c>
      <c r="D2218" s="12" t="s">
        <v>26</v>
      </c>
      <c r="E2218" s="13" t="s">
        <v>26</v>
      </c>
      <c r="F2218" s="14">
        <v>0.014027777777777778</v>
      </c>
      <c r="G2218" s="21"/>
    </row>
    <row r="2219">
      <c r="A2219" s="4" t="s">
        <v>1834</v>
      </c>
      <c r="B2219" s="10">
        <v>2423500.0</v>
      </c>
      <c r="C2219" s="16" t="s">
        <v>1917</v>
      </c>
      <c r="D2219" s="12" t="s">
        <v>26</v>
      </c>
      <c r="E2219" s="13" t="s">
        <v>26</v>
      </c>
      <c r="F2219" s="14">
        <v>0.03864583333333333</v>
      </c>
      <c r="G2219" s="21"/>
    </row>
    <row r="2220">
      <c r="A2220" s="4" t="s">
        <v>1834</v>
      </c>
      <c r="B2220" s="10">
        <v>2426450.0</v>
      </c>
      <c r="C2220" s="16" t="s">
        <v>1918</v>
      </c>
      <c r="D2220" s="12" t="s">
        <v>26</v>
      </c>
      <c r="E2220" s="13" t="s">
        <v>26</v>
      </c>
      <c r="F2220" s="14">
        <v>0.025902777777777778</v>
      </c>
      <c r="G2220" s="21"/>
    </row>
    <row r="2221">
      <c r="A2221" s="4" t="s">
        <v>1834</v>
      </c>
      <c r="B2221" s="10">
        <v>2893127.0</v>
      </c>
      <c r="C2221" s="16" t="s">
        <v>1919</v>
      </c>
      <c r="D2221" s="12" t="s">
        <v>26</v>
      </c>
      <c r="E2221" s="13" t="s">
        <v>26</v>
      </c>
      <c r="F2221" s="14">
        <v>0.020405092592592593</v>
      </c>
      <c r="G2221" s="21"/>
    </row>
    <row r="2222">
      <c r="A2222" s="4" t="s">
        <v>1834</v>
      </c>
      <c r="B2222" s="10">
        <v>2894569.0</v>
      </c>
      <c r="C2222" s="16" t="s">
        <v>1920</v>
      </c>
      <c r="D2222" s="12" t="s">
        <v>26</v>
      </c>
      <c r="E2222" s="13" t="s">
        <v>26</v>
      </c>
      <c r="F2222" s="14">
        <v>0.022372685185185186</v>
      </c>
      <c r="G2222" s="21"/>
    </row>
    <row r="2223">
      <c r="A2223" s="4" t="s">
        <v>1834</v>
      </c>
      <c r="B2223" s="10">
        <v>3008163.0</v>
      </c>
      <c r="C2223" s="16" t="s">
        <v>1921</v>
      </c>
      <c r="D2223" s="12" t="s">
        <v>26</v>
      </c>
      <c r="E2223" s="13" t="s">
        <v>26</v>
      </c>
      <c r="F2223" s="14">
        <v>0.013865740740740741</v>
      </c>
      <c r="G2223" s="21"/>
    </row>
    <row r="2224">
      <c r="A2224" s="4" t="s">
        <v>1834</v>
      </c>
      <c r="B2224" s="10">
        <v>3011078.0</v>
      </c>
      <c r="C2224" s="16" t="s">
        <v>1922</v>
      </c>
      <c r="D2224" s="12" t="s">
        <v>26</v>
      </c>
      <c r="E2224" s="13" t="s">
        <v>26</v>
      </c>
      <c r="F2224" s="14">
        <v>0.01880787037037037</v>
      </c>
      <c r="G2224" s="21"/>
    </row>
    <row r="2225">
      <c r="A2225" s="4" t="s">
        <v>1923</v>
      </c>
      <c r="B2225" s="5" t="s">
        <v>8</v>
      </c>
      <c r="C2225" s="6" t="s">
        <v>9</v>
      </c>
      <c r="D2225" s="7" t="s">
        <v>3</v>
      </c>
      <c r="E2225" s="7" t="s">
        <v>10</v>
      </c>
      <c r="F2225" s="8" t="s">
        <v>11</v>
      </c>
      <c r="G2225" s="9" t="s">
        <v>12</v>
      </c>
    </row>
    <row r="2226">
      <c r="A2226" s="4" t="s">
        <v>1923</v>
      </c>
      <c r="B2226" s="10">
        <v>758617.0</v>
      </c>
      <c r="C2226" s="16" t="s">
        <v>1227</v>
      </c>
      <c r="D2226" s="12" t="s">
        <v>14</v>
      </c>
      <c r="E2226" s="13" t="s">
        <v>109</v>
      </c>
      <c r="F2226" s="14">
        <v>0.05005787037037037</v>
      </c>
      <c r="G2226" s="15" t="s">
        <v>1277</v>
      </c>
    </row>
    <row r="2227">
      <c r="A2227" s="4" t="s">
        <v>1923</v>
      </c>
      <c r="B2227" s="10">
        <v>2806194.0</v>
      </c>
      <c r="C2227" s="16" t="s">
        <v>1236</v>
      </c>
      <c r="D2227" s="12" t="s">
        <v>14</v>
      </c>
      <c r="E2227" s="13" t="s">
        <v>109</v>
      </c>
      <c r="F2227" s="14">
        <v>0.040150462962962964</v>
      </c>
      <c r="G2227" s="15" t="s">
        <v>1924</v>
      </c>
    </row>
    <row r="2228">
      <c r="A2228" s="4" t="s">
        <v>1923</v>
      </c>
      <c r="B2228" s="10">
        <v>2822090.0</v>
      </c>
      <c r="C2228" s="16" t="s">
        <v>1283</v>
      </c>
      <c r="D2228" s="12" t="s">
        <v>14</v>
      </c>
      <c r="E2228" s="13" t="s">
        <v>109</v>
      </c>
      <c r="F2228" s="14">
        <v>0.018969907407407408</v>
      </c>
      <c r="G2228" s="15" t="s">
        <v>1346</v>
      </c>
    </row>
    <row r="2229">
      <c r="A2229" s="4" t="s">
        <v>1923</v>
      </c>
      <c r="B2229" s="10">
        <v>772318.0</v>
      </c>
      <c r="C2229" s="16" t="s">
        <v>1284</v>
      </c>
      <c r="D2229" s="12" t="s">
        <v>14</v>
      </c>
      <c r="E2229" s="13" t="s">
        <v>109</v>
      </c>
      <c r="F2229" s="14">
        <v>0.07532407407407407</v>
      </c>
      <c r="G2229" s="15" t="s">
        <v>1229</v>
      </c>
    </row>
    <row r="2230">
      <c r="A2230" s="4" t="s">
        <v>1923</v>
      </c>
      <c r="B2230" s="10">
        <v>706917.0</v>
      </c>
      <c r="C2230" s="16" t="s">
        <v>1748</v>
      </c>
      <c r="D2230" s="12" t="s">
        <v>14</v>
      </c>
      <c r="E2230" s="13" t="s">
        <v>109</v>
      </c>
      <c r="F2230" s="14">
        <v>0.053634259259259257</v>
      </c>
      <c r="G2230" s="15" t="s">
        <v>233</v>
      </c>
    </row>
    <row r="2231">
      <c r="A2231" s="4" t="s">
        <v>1923</v>
      </c>
      <c r="B2231" s="10">
        <v>585010.0</v>
      </c>
      <c r="C2231" s="16" t="s">
        <v>586</v>
      </c>
      <c r="D2231" s="12" t="s">
        <v>14</v>
      </c>
      <c r="E2231" s="13" t="s">
        <v>19</v>
      </c>
      <c r="F2231" s="14">
        <v>0.0635300925925926</v>
      </c>
      <c r="G2231" s="15" t="s">
        <v>1231</v>
      </c>
    </row>
    <row r="2232">
      <c r="A2232" s="4" t="s">
        <v>1923</v>
      </c>
      <c r="B2232" s="10">
        <v>645018.0</v>
      </c>
      <c r="C2232" s="16" t="s">
        <v>1275</v>
      </c>
      <c r="D2232" s="12" t="s">
        <v>14</v>
      </c>
      <c r="E2232" s="13" t="s">
        <v>26</v>
      </c>
      <c r="F2232" s="14">
        <v>0.01056712962962963</v>
      </c>
      <c r="G2232" s="15" t="s">
        <v>1278</v>
      </c>
    </row>
    <row r="2233">
      <c r="A2233" s="4" t="s">
        <v>1923</v>
      </c>
      <c r="B2233" s="10">
        <v>689764.0</v>
      </c>
      <c r="C2233" s="11" t="s">
        <v>1276</v>
      </c>
      <c r="D2233" s="12" t="s">
        <v>14</v>
      </c>
      <c r="E2233" s="13" t="s">
        <v>26</v>
      </c>
      <c r="F2233" s="14">
        <v>0.13275462962962964</v>
      </c>
      <c r="G2233" s="15" t="s">
        <v>584</v>
      </c>
    </row>
    <row r="2234">
      <c r="A2234" s="4" t="s">
        <v>1923</v>
      </c>
      <c r="B2234" s="10">
        <v>2241053.0</v>
      </c>
      <c r="C2234" s="16" t="s">
        <v>1237</v>
      </c>
      <c r="D2234" s="12" t="s">
        <v>14</v>
      </c>
      <c r="E2234" s="13" t="s">
        <v>26</v>
      </c>
      <c r="F2234" s="14">
        <v>0.009641203703703704</v>
      </c>
      <c r="G2234" s="15" t="s">
        <v>1279</v>
      </c>
    </row>
    <row r="2235">
      <c r="A2235" s="4" t="s">
        <v>1923</v>
      </c>
      <c r="B2235" s="10">
        <v>645013.0</v>
      </c>
      <c r="C2235" s="16" t="s">
        <v>230</v>
      </c>
      <c r="D2235" s="12" t="s">
        <v>14</v>
      </c>
      <c r="E2235" s="13" t="s">
        <v>15</v>
      </c>
      <c r="F2235" s="14">
        <v>0.04212962962962963</v>
      </c>
      <c r="G2235" s="15" t="s">
        <v>1351</v>
      </c>
    </row>
    <row r="2236">
      <c r="A2236" s="4" t="s">
        <v>1923</v>
      </c>
      <c r="B2236" s="10">
        <v>518758.0</v>
      </c>
      <c r="C2236" s="16" t="s">
        <v>1286</v>
      </c>
      <c r="D2236" s="12" t="s">
        <v>18</v>
      </c>
      <c r="E2236" s="13" t="s">
        <v>19</v>
      </c>
      <c r="F2236" s="14">
        <v>0.0412037037037037</v>
      </c>
      <c r="G2236" s="15" t="s">
        <v>1344</v>
      </c>
    </row>
    <row r="2237">
      <c r="A2237" s="4" t="s">
        <v>1923</v>
      </c>
      <c r="B2237" s="10">
        <v>777382.0</v>
      </c>
      <c r="C2237" s="16" t="s">
        <v>1287</v>
      </c>
      <c r="D2237" s="12" t="s">
        <v>18</v>
      </c>
      <c r="E2237" s="13" t="s">
        <v>19</v>
      </c>
      <c r="F2237" s="14">
        <v>0.04711805555555556</v>
      </c>
      <c r="G2237" s="15" t="s">
        <v>1282</v>
      </c>
    </row>
    <row r="2238" ht="17.25" customHeight="1">
      <c r="A2238" s="4" t="s">
        <v>1923</v>
      </c>
      <c r="B2238" s="10">
        <v>5010646.0</v>
      </c>
      <c r="C2238" s="16" t="s">
        <v>29</v>
      </c>
      <c r="D2238" s="12" t="s">
        <v>18</v>
      </c>
      <c r="E2238" s="13" t="s">
        <v>15</v>
      </c>
      <c r="F2238" s="14">
        <v>0.02980324074074074</v>
      </c>
      <c r="G2238" s="17" t="s">
        <v>1235</v>
      </c>
    </row>
    <row r="2239">
      <c r="A2239" s="4" t="s">
        <v>1923</v>
      </c>
      <c r="B2239" s="10">
        <v>706913.0</v>
      </c>
      <c r="C2239" s="16" t="s">
        <v>1720</v>
      </c>
      <c r="D2239" s="12" t="s">
        <v>18</v>
      </c>
      <c r="E2239" s="13" t="s">
        <v>15</v>
      </c>
      <c r="F2239" s="14">
        <v>0.02648148148148148</v>
      </c>
      <c r="G2239" s="21"/>
    </row>
    <row r="2240">
      <c r="A2240" s="4" t="s">
        <v>1923</v>
      </c>
      <c r="B2240" s="10">
        <v>565364.0</v>
      </c>
      <c r="C2240" s="16" t="s">
        <v>173</v>
      </c>
      <c r="D2240" s="12" t="s">
        <v>18</v>
      </c>
      <c r="E2240" s="13" t="s">
        <v>15</v>
      </c>
      <c r="F2240" s="14">
        <v>0.01412037037037037</v>
      </c>
      <c r="G2240" s="21"/>
    </row>
    <row r="2241">
      <c r="A2241" s="4" t="s">
        <v>1923</v>
      </c>
      <c r="B2241" s="10">
        <v>2811020.0</v>
      </c>
      <c r="C2241" s="16" t="s">
        <v>303</v>
      </c>
      <c r="D2241" s="12" t="s">
        <v>18</v>
      </c>
      <c r="E2241" s="13" t="s">
        <v>15</v>
      </c>
      <c r="F2241" s="14">
        <v>0.022094907407407407</v>
      </c>
      <c r="G2241" s="21"/>
    </row>
    <row r="2242">
      <c r="A2242" s="4" t="s">
        <v>1923</v>
      </c>
      <c r="B2242" s="10">
        <v>2252216.0</v>
      </c>
      <c r="C2242" s="16" t="s">
        <v>305</v>
      </c>
      <c r="D2242" s="12" t="s">
        <v>18</v>
      </c>
      <c r="E2242" s="13" t="s">
        <v>15</v>
      </c>
      <c r="F2242" s="14">
        <v>0.03420138888888889</v>
      </c>
      <c r="G2242" s="21"/>
    </row>
    <row r="2243">
      <c r="A2243" s="4" t="s">
        <v>1923</v>
      </c>
      <c r="B2243" s="10">
        <v>5022326.0</v>
      </c>
      <c r="C2243" s="16" t="s">
        <v>310</v>
      </c>
      <c r="D2243" s="12" t="s">
        <v>18</v>
      </c>
      <c r="E2243" s="13" t="s">
        <v>15</v>
      </c>
      <c r="F2243" s="14">
        <v>0.031747685185185184</v>
      </c>
      <c r="G2243" s="21"/>
    </row>
    <row r="2244">
      <c r="A2244" s="4" t="s">
        <v>1923</v>
      </c>
      <c r="B2244" s="10">
        <v>5015873.0</v>
      </c>
      <c r="C2244" s="16" t="s">
        <v>644</v>
      </c>
      <c r="D2244" s="12" t="s">
        <v>18</v>
      </c>
      <c r="E2244" s="13" t="s">
        <v>15</v>
      </c>
      <c r="F2244" s="14">
        <v>0.0096875</v>
      </c>
      <c r="G2244" s="21"/>
    </row>
    <row r="2245">
      <c r="A2245" s="4" t="s">
        <v>1923</v>
      </c>
      <c r="B2245" s="10">
        <v>2813183.0</v>
      </c>
      <c r="C2245" s="16" t="s">
        <v>1243</v>
      </c>
      <c r="D2245" s="12" t="s">
        <v>18</v>
      </c>
      <c r="E2245" s="13" t="s">
        <v>15</v>
      </c>
      <c r="F2245" s="14">
        <v>0.03140046296296296</v>
      </c>
      <c r="G2245" s="17"/>
    </row>
    <row r="2246">
      <c r="A2246" s="4" t="s">
        <v>1923</v>
      </c>
      <c r="B2246" s="10">
        <v>2869096.0</v>
      </c>
      <c r="C2246" s="16" t="s">
        <v>1245</v>
      </c>
      <c r="D2246" s="12" t="s">
        <v>18</v>
      </c>
      <c r="E2246" s="13" t="s">
        <v>15</v>
      </c>
      <c r="F2246" s="14">
        <v>0.026006944444444444</v>
      </c>
      <c r="G2246" s="21"/>
    </row>
    <row r="2247">
      <c r="A2247" s="4" t="s">
        <v>1923</v>
      </c>
      <c r="B2247" s="10">
        <v>5022331.0</v>
      </c>
      <c r="C2247" s="16" t="s">
        <v>1288</v>
      </c>
      <c r="D2247" s="12" t="s">
        <v>18</v>
      </c>
      <c r="E2247" s="13" t="s">
        <v>15</v>
      </c>
      <c r="F2247" s="14">
        <v>0.025925925925925925</v>
      </c>
      <c r="G2247" s="21"/>
    </row>
    <row r="2248">
      <c r="A2248" s="4" t="s">
        <v>1923</v>
      </c>
      <c r="B2248" s="10">
        <v>167027.0</v>
      </c>
      <c r="C2248" s="16" t="s">
        <v>1289</v>
      </c>
      <c r="D2248" s="12" t="s">
        <v>18</v>
      </c>
      <c r="E2248" s="13" t="s">
        <v>15</v>
      </c>
      <c r="F2248" s="14">
        <v>0.055</v>
      </c>
      <c r="G2248" s="21"/>
    </row>
    <row r="2249">
      <c r="A2249" s="4" t="s">
        <v>1923</v>
      </c>
      <c r="B2249" s="10">
        <v>2806197.0</v>
      </c>
      <c r="C2249" s="16" t="s">
        <v>1290</v>
      </c>
      <c r="D2249" s="12" t="s">
        <v>18</v>
      </c>
      <c r="E2249" s="13" t="s">
        <v>15</v>
      </c>
      <c r="F2249" s="14">
        <v>0.01902777777777778</v>
      </c>
      <c r="G2249" s="21"/>
    </row>
    <row r="2250">
      <c r="A2250" s="4" t="s">
        <v>1923</v>
      </c>
      <c r="B2250" s="10">
        <v>756285.0</v>
      </c>
      <c r="C2250" s="16" t="s">
        <v>1291</v>
      </c>
      <c r="D2250" s="12" t="s">
        <v>18</v>
      </c>
      <c r="E2250" s="13" t="s">
        <v>15</v>
      </c>
      <c r="F2250" s="14">
        <v>0.038125</v>
      </c>
      <c r="G2250" s="21"/>
    </row>
    <row r="2251">
      <c r="A2251" s="4" t="s">
        <v>1923</v>
      </c>
      <c r="B2251" s="10">
        <v>713374.0</v>
      </c>
      <c r="C2251" s="16" t="s">
        <v>1835</v>
      </c>
      <c r="D2251" s="12" t="s">
        <v>18</v>
      </c>
      <c r="E2251" s="13" t="s">
        <v>15</v>
      </c>
      <c r="F2251" s="14">
        <v>0.025671296296296296</v>
      </c>
      <c r="G2251" s="21"/>
    </row>
    <row r="2252">
      <c r="A2252" s="4" t="s">
        <v>1923</v>
      </c>
      <c r="B2252" s="10">
        <v>2877076.0</v>
      </c>
      <c r="C2252" s="16" t="s">
        <v>1925</v>
      </c>
      <c r="D2252" s="12" t="s">
        <v>18</v>
      </c>
      <c r="E2252" s="13" t="s">
        <v>15</v>
      </c>
      <c r="F2252" s="14">
        <v>0.0259375</v>
      </c>
      <c r="G2252" s="21"/>
    </row>
    <row r="2253">
      <c r="A2253" s="4" t="s">
        <v>1923</v>
      </c>
      <c r="B2253" s="10">
        <v>2450365.0</v>
      </c>
      <c r="C2253" s="16" t="s">
        <v>1926</v>
      </c>
      <c r="D2253" s="12" t="s">
        <v>18</v>
      </c>
      <c r="E2253" s="13" t="s">
        <v>15</v>
      </c>
      <c r="F2253" s="14">
        <v>0.018831018518518518</v>
      </c>
      <c r="G2253" s="21"/>
    </row>
    <row r="2254">
      <c r="A2254" s="4" t="s">
        <v>1923</v>
      </c>
      <c r="B2254" s="10">
        <v>2253157.0</v>
      </c>
      <c r="C2254" s="16" t="s">
        <v>1927</v>
      </c>
      <c r="D2254" s="12" t="s">
        <v>18</v>
      </c>
      <c r="E2254" s="13" t="s">
        <v>109</v>
      </c>
      <c r="F2254" s="14">
        <v>0.02696759259259259</v>
      </c>
      <c r="G2254" s="21"/>
    </row>
    <row r="2255">
      <c r="A2255" s="4" t="s">
        <v>1923</v>
      </c>
      <c r="B2255" s="10">
        <v>647653.0</v>
      </c>
      <c r="C2255" s="16" t="s">
        <v>1493</v>
      </c>
      <c r="D2255" s="12" t="s">
        <v>18</v>
      </c>
      <c r="E2255" s="13" t="s">
        <v>109</v>
      </c>
      <c r="F2255" s="14">
        <v>0.03446759259259259</v>
      </c>
      <c r="G2255" s="21"/>
    </row>
    <row r="2256">
      <c r="A2256" s="4" t="s">
        <v>1923</v>
      </c>
      <c r="B2256" s="10">
        <v>5028627.0</v>
      </c>
      <c r="C2256" s="16" t="s">
        <v>297</v>
      </c>
      <c r="D2256" s="12" t="s">
        <v>18</v>
      </c>
      <c r="E2256" s="13" t="s">
        <v>109</v>
      </c>
      <c r="F2256" s="14">
        <v>0.061064814814814815</v>
      </c>
      <c r="G2256" s="21"/>
    </row>
    <row r="2257">
      <c r="A2257" s="4" t="s">
        <v>1923</v>
      </c>
      <c r="B2257" s="10">
        <v>685023.0</v>
      </c>
      <c r="C2257" s="16" t="s">
        <v>1293</v>
      </c>
      <c r="D2257" s="12" t="s">
        <v>18</v>
      </c>
      <c r="E2257" s="13" t="s">
        <v>109</v>
      </c>
      <c r="F2257" s="14">
        <v>0.05386574074074074</v>
      </c>
      <c r="G2257" s="21"/>
    </row>
    <row r="2258">
      <c r="A2258" s="4" t="s">
        <v>1923</v>
      </c>
      <c r="B2258" s="10">
        <v>2833088.0</v>
      </c>
      <c r="C2258" s="16" t="s">
        <v>1238</v>
      </c>
      <c r="D2258" s="12" t="s">
        <v>18</v>
      </c>
      <c r="E2258" s="13" t="s">
        <v>109</v>
      </c>
      <c r="F2258" s="14">
        <v>0.02144675925925926</v>
      </c>
      <c r="G2258" s="21"/>
    </row>
    <row r="2259">
      <c r="A2259" s="4" t="s">
        <v>1923</v>
      </c>
      <c r="B2259" s="10">
        <v>2812491.0</v>
      </c>
      <c r="C2259" s="16" t="s">
        <v>1739</v>
      </c>
      <c r="D2259" s="12" t="s">
        <v>18</v>
      </c>
      <c r="E2259" s="13" t="s">
        <v>109</v>
      </c>
      <c r="F2259" s="14">
        <v>0.04090277777777778</v>
      </c>
      <c r="G2259" s="21"/>
    </row>
    <row r="2260">
      <c r="A2260" s="4" t="s">
        <v>1923</v>
      </c>
      <c r="B2260" s="10">
        <v>2881200.0</v>
      </c>
      <c r="C2260" s="16" t="s">
        <v>119</v>
      </c>
      <c r="D2260" s="12" t="s">
        <v>18</v>
      </c>
      <c r="E2260" s="13" t="s">
        <v>109</v>
      </c>
      <c r="F2260" s="14">
        <v>0.02181712962962963</v>
      </c>
      <c r="G2260" s="21"/>
    </row>
    <row r="2261">
      <c r="A2261" s="4" t="s">
        <v>1923</v>
      </c>
      <c r="B2261" s="10">
        <v>3009232.0</v>
      </c>
      <c r="C2261" s="16" t="s">
        <v>1928</v>
      </c>
      <c r="D2261" s="12" t="s">
        <v>18</v>
      </c>
      <c r="E2261" s="13" t="s">
        <v>109</v>
      </c>
      <c r="F2261" s="14">
        <v>0.02396990740740741</v>
      </c>
      <c r="G2261" s="21"/>
    </row>
    <row r="2262">
      <c r="A2262" s="4" t="s">
        <v>1923</v>
      </c>
      <c r="B2262" s="10">
        <v>2300012.0</v>
      </c>
      <c r="C2262" s="16" t="s">
        <v>1242</v>
      </c>
      <c r="D2262" s="12" t="s">
        <v>18</v>
      </c>
      <c r="E2262" s="13" t="s">
        <v>26</v>
      </c>
      <c r="F2262" s="14">
        <v>0.011770833333333333</v>
      </c>
      <c r="G2262" s="21"/>
    </row>
    <row r="2263">
      <c r="A2263" s="4" t="s">
        <v>1923</v>
      </c>
      <c r="B2263" s="10">
        <v>2242035.0</v>
      </c>
      <c r="C2263" s="16" t="s">
        <v>238</v>
      </c>
      <c r="D2263" s="12" t="s">
        <v>18</v>
      </c>
      <c r="E2263" s="13" t="s">
        <v>26</v>
      </c>
      <c r="F2263" s="14">
        <v>0.009224537037037036</v>
      </c>
      <c r="G2263" s="21"/>
    </row>
    <row r="2264">
      <c r="A2264" s="4" t="s">
        <v>1923</v>
      </c>
      <c r="B2264" s="10">
        <v>2813223.0</v>
      </c>
      <c r="C2264" s="16" t="s">
        <v>597</v>
      </c>
      <c r="D2264" s="12" t="s">
        <v>18</v>
      </c>
      <c r="E2264" s="13" t="s">
        <v>26</v>
      </c>
      <c r="F2264" s="14">
        <v>0.05261574074074074</v>
      </c>
      <c r="G2264" s="21"/>
    </row>
    <row r="2265">
      <c r="A2265" s="4" t="s">
        <v>1923</v>
      </c>
      <c r="B2265" s="10">
        <v>696872.0</v>
      </c>
      <c r="C2265" s="16" t="s">
        <v>1295</v>
      </c>
      <c r="D2265" s="12" t="s">
        <v>18</v>
      </c>
      <c r="E2265" s="13" t="s">
        <v>26</v>
      </c>
      <c r="F2265" s="14">
        <v>0.018935185185185187</v>
      </c>
      <c r="G2265" s="21"/>
    </row>
    <row r="2266">
      <c r="A2266" s="4" t="s">
        <v>1923</v>
      </c>
      <c r="B2266" s="10">
        <v>2367358.0</v>
      </c>
      <c r="C2266" s="16" t="s">
        <v>179</v>
      </c>
      <c r="D2266" s="12" t="s">
        <v>34</v>
      </c>
      <c r="E2266" s="13" t="s">
        <v>38</v>
      </c>
      <c r="F2266" s="14">
        <v>0.017326388888888888</v>
      </c>
      <c r="G2266" s="21"/>
    </row>
    <row r="2267">
      <c r="A2267" s="4" t="s">
        <v>1923</v>
      </c>
      <c r="B2267" s="10">
        <v>2824175.0</v>
      </c>
      <c r="C2267" s="16" t="s">
        <v>315</v>
      </c>
      <c r="D2267" s="12" t="s">
        <v>34</v>
      </c>
      <c r="E2267" s="13" t="s">
        <v>38</v>
      </c>
      <c r="F2267" s="14">
        <v>0.010648148148148148</v>
      </c>
      <c r="G2267" s="21"/>
    </row>
    <row r="2268">
      <c r="A2268" s="4" t="s">
        <v>1923</v>
      </c>
      <c r="B2268" s="10">
        <v>2825404.0</v>
      </c>
      <c r="C2268" s="16" t="s">
        <v>1247</v>
      </c>
      <c r="D2268" s="12" t="s">
        <v>34</v>
      </c>
      <c r="E2268" s="13" t="s">
        <v>38</v>
      </c>
      <c r="F2268" s="14">
        <v>0.036863425925925924</v>
      </c>
      <c r="G2268" s="21"/>
    </row>
    <row r="2269">
      <c r="A2269" s="4" t="s">
        <v>1923</v>
      </c>
      <c r="B2269" s="10">
        <v>651185.0</v>
      </c>
      <c r="C2269" s="16" t="s">
        <v>1296</v>
      </c>
      <c r="D2269" s="12" t="s">
        <v>34</v>
      </c>
      <c r="E2269" s="13" t="s">
        <v>38</v>
      </c>
      <c r="F2269" s="14">
        <v>0.03525462962962963</v>
      </c>
      <c r="G2269" s="21"/>
    </row>
    <row r="2270">
      <c r="A2270" s="4" t="s">
        <v>1923</v>
      </c>
      <c r="B2270" s="10">
        <v>802830.0</v>
      </c>
      <c r="C2270" s="16" t="s">
        <v>1297</v>
      </c>
      <c r="D2270" s="12" t="s">
        <v>34</v>
      </c>
      <c r="E2270" s="13" t="s">
        <v>38</v>
      </c>
      <c r="F2270" s="14">
        <v>0.03142361111111111</v>
      </c>
      <c r="G2270" s="21"/>
    </row>
    <row r="2271">
      <c r="A2271" s="4" t="s">
        <v>1923</v>
      </c>
      <c r="B2271" s="10">
        <v>721910.0</v>
      </c>
      <c r="C2271" s="16" t="s">
        <v>1298</v>
      </c>
      <c r="D2271" s="12" t="s">
        <v>34</v>
      </c>
      <c r="E2271" s="13" t="s">
        <v>38</v>
      </c>
      <c r="F2271" s="14">
        <v>0.10472222222222222</v>
      </c>
      <c r="G2271" s="21"/>
    </row>
    <row r="2272">
      <c r="A2272" s="4" t="s">
        <v>1923</v>
      </c>
      <c r="B2272" s="10">
        <v>2813255.0</v>
      </c>
      <c r="C2272" s="16" t="s">
        <v>1299</v>
      </c>
      <c r="D2272" s="12" t="s">
        <v>34</v>
      </c>
      <c r="E2272" s="13" t="s">
        <v>38</v>
      </c>
      <c r="F2272" s="14">
        <v>0.028449074074074075</v>
      </c>
      <c r="G2272" s="21"/>
    </row>
    <row r="2273">
      <c r="A2273" s="4" t="s">
        <v>1923</v>
      </c>
      <c r="B2273" s="10">
        <v>2822456.0</v>
      </c>
      <c r="C2273" s="16" t="s">
        <v>1302</v>
      </c>
      <c r="D2273" s="12" t="s">
        <v>34</v>
      </c>
      <c r="E2273" s="13" t="s">
        <v>38</v>
      </c>
      <c r="F2273" s="14">
        <v>0.04642361111111111</v>
      </c>
      <c r="G2273" s="21"/>
    </row>
    <row r="2274">
      <c r="A2274" s="4" t="s">
        <v>1923</v>
      </c>
      <c r="B2274" s="10">
        <v>2877031.0</v>
      </c>
      <c r="C2274" s="16" t="s">
        <v>1304</v>
      </c>
      <c r="D2274" s="12" t="s">
        <v>34</v>
      </c>
      <c r="E2274" s="13" t="s">
        <v>38</v>
      </c>
      <c r="F2274" s="14">
        <v>0.018773148148148146</v>
      </c>
      <c r="G2274" s="21"/>
    </row>
    <row r="2275">
      <c r="A2275" s="4" t="s">
        <v>1923</v>
      </c>
      <c r="B2275" s="10">
        <v>2428602.0</v>
      </c>
      <c r="C2275" s="16" t="s">
        <v>1929</v>
      </c>
      <c r="D2275" s="12" t="s">
        <v>34</v>
      </c>
      <c r="E2275" s="13" t="s">
        <v>38</v>
      </c>
      <c r="F2275" s="14">
        <v>0.02684027777777778</v>
      </c>
      <c r="G2275" s="21"/>
    </row>
    <row r="2276">
      <c r="A2276" s="4" t="s">
        <v>1923</v>
      </c>
      <c r="B2276" s="10">
        <v>3009779.0</v>
      </c>
      <c r="C2276" s="16" t="s">
        <v>1930</v>
      </c>
      <c r="D2276" s="12" t="s">
        <v>34</v>
      </c>
      <c r="E2276" s="13" t="s">
        <v>38</v>
      </c>
      <c r="F2276" s="14">
        <v>0.018912037037037036</v>
      </c>
      <c r="G2276" s="21"/>
    </row>
    <row r="2277">
      <c r="A2277" s="4" t="s">
        <v>1923</v>
      </c>
      <c r="B2277" s="10">
        <v>2447219.0</v>
      </c>
      <c r="C2277" s="16" t="s">
        <v>1931</v>
      </c>
      <c r="D2277" s="12" t="s">
        <v>34</v>
      </c>
      <c r="E2277" s="13" t="s">
        <v>38</v>
      </c>
      <c r="F2277" s="14">
        <v>0.01125</v>
      </c>
      <c r="G2277" s="21"/>
    </row>
    <row r="2278">
      <c r="A2278" s="4" t="s">
        <v>1923</v>
      </c>
      <c r="B2278" s="10">
        <v>5034158.0</v>
      </c>
      <c r="C2278" s="16" t="s">
        <v>1305</v>
      </c>
      <c r="D2278" s="12" t="s">
        <v>34</v>
      </c>
      <c r="E2278" s="13" t="s">
        <v>19</v>
      </c>
      <c r="F2278" s="14">
        <v>0.02431712962962963</v>
      </c>
      <c r="G2278" s="21"/>
    </row>
    <row r="2279">
      <c r="A2279" s="4" t="s">
        <v>1923</v>
      </c>
      <c r="B2279" s="10">
        <v>756283.0</v>
      </c>
      <c r="C2279" s="16" t="s">
        <v>1307</v>
      </c>
      <c r="D2279" s="12" t="s">
        <v>34</v>
      </c>
      <c r="E2279" s="13" t="s">
        <v>19</v>
      </c>
      <c r="F2279" s="14">
        <v>0.04310185185185185</v>
      </c>
      <c r="G2279" s="21"/>
    </row>
    <row r="2280">
      <c r="A2280" s="4" t="s">
        <v>1923</v>
      </c>
      <c r="B2280" s="10">
        <v>797724.0</v>
      </c>
      <c r="C2280" s="16" t="s">
        <v>1306</v>
      </c>
      <c r="D2280" s="12" t="s">
        <v>34</v>
      </c>
      <c r="E2280" s="13" t="s">
        <v>19</v>
      </c>
      <c r="F2280" s="14">
        <v>0.025578703703703704</v>
      </c>
      <c r="G2280" s="21"/>
    </row>
    <row r="2281">
      <c r="A2281" s="4" t="s">
        <v>1923</v>
      </c>
      <c r="B2281" s="10">
        <v>769274.0</v>
      </c>
      <c r="C2281" s="16" t="s">
        <v>1932</v>
      </c>
      <c r="D2281" s="12" t="s">
        <v>34</v>
      </c>
      <c r="E2281" s="13" t="s">
        <v>19</v>
      </c>
      <c r="F2281" s="14">
        <v>0.035034722222222224</v>
      </c>
      <c r="G2281" s="21"/>
    </row>
    <row r="2282">
      <c r="A2282" s="4" t="s">
        <v>1923</v>
      </c>
      <c r="B2282" s="10">
        <v>784280.0</v>
      </c>
      <c r="C2282" s="16" t="s">
        <v>186</v>
      </c>
      <c r="D2282" s="12" t="s">
        <v>34</v>
      </c>
      <c r="E2282" s="13" t="s">
        <v>26</v>
      </c>
      <c r="F2282" s="14">
        <v>0.04173611111111111</v>
      </c>
      <c r="G2282" s="21"/>
    </row>
    <row r="2283">
      <c r="A2283" s="4" t="s">
        <v>1923</v>
      </c>
      <c r="B2283" s="10">
        <v>2809355.0</v>
      </c>
      <c r="C2283" s="16" t="s">
        <v>317</v>
      </c>
      <c r="D2283" s="12" t="s">
        <v>34</v>
      </c>
      <c r="E2283" s="13" t="s">
        <v>26</v>
      </c>
      <c r="F2283" s="14">
        <v>0.02738425925925926</v>
      </c>
      <c r="G2283" s="21"/>
    </row>
    <row r="2284">
      <c r="A2284" s="4" t="s">
        <v>1923</v>
      </c>
      <c r="B2284" s="10">
        <v>2877028.0</v>
      </c>
      <c r="C2284" s="16" t="s">
        <v>187</v>
      </c>
      <c r="D2284" s="12" t="s">
        <v>34</v>
      </c>
      <c r="E2284" s="13" t="s">
        <v>26</v>
      </c>
      <c r="F2284" s="14">
        <v>0.052708333333333336</v>
      </c>
      <c r="G2284" s="21"/>
    </row>
    <row r="2285">
      <c r="A2285" s="4" t="s">
        <v>1923</v>
      </c>
      <c r="B2285" s="10">
        <v>2243045.0</v>
      </c>
      <c r="C2285" s="16" t="s">
        <v>241</v>
      </c>
      <c r="D2285" s="12" t="s">
        <v>34</v>
      </c>
      <c r="E2285" s="13" t="s">
        <v>26</v>
      </c>
      <c r="F2285" s="14">
        <v>0.006006944444444444</v>
      </c>
      <c r="G2285" s="21"/>
    </row>
    <row r="2286">
      <c r="A2286" s="4" t="s">
        <v>1923</v>
      </c>
      <c r="B2286" s="10">
        <v>2242044.0</v>
      </c>
      <c r="C2286" s="16" t="s">
        <v>1319</v>
      </c>
      <c r="D2286" s="12" t="s">
        <v>34</v>
      </c>
      <c r="E2286" s="13" t="s">
        <v>26</v>
      </c>
      <c r="F2286" s="14">
        <v>0.009097222222222222</v>
      </c>
      <c r="G2286" s="21"/>
    </row>
    <row r="2287">
      <c r="A2287" s="4" t="s">
        <v>1923</v>
      </c>
      <c r="B2287" s="10">
        <v>2243043.0</v>
      </c>
      <c r="C2287" s="16" t="s">
        <v>1316</v>
      </c>
      <c r="D2287" s="12" t="s">
        <v>34</v>
      </c>
      <c r="E2287" s="13" t="s">
        <v>26</v>
      </c>
      <c r="F2287" s="14">
        <v>0.00525462962962963</v>
      </c>
      <c r="G2287" s="21"/>
    </row>
    <row r="2288">
      <c r="A2288" s="4" t="s">
        <v>1923</v>
      </c>
      <c r="B2288" s="10">
        <v>2834033.0</v>
      </c>
      <c r="C2288" s="16" t="s">
        <v>1318</v>
      </c>
      <c r="D2288" s="12" t="s">
        <v>34</v>
      </c>
      <c r="E2288" s="13" t="s">
        <v>26</v>
      </c>
      <c r="F2288" s="14">
        <v>0.1315162037037037</v>
      </c>
      <c r="G2288" s="21"/>
    </row>
    <row r="2289">
      <c r="A2289" s="4" t="s">
        <v>1923</v>
      </c>
      <c r="B2289" s="10">
        <v>2449204.0</v>
      </c>
      <c r="C2289" s="16" t="s">
        <v>1933</v>
      </c>
      <c r="D2289" s="12" t="s">
        <v>34</v>
      </c>
      <c r="E2289" s="13" t="s">
        <v>26</v>
      </c>
      <c r="F2289" s="14">
        <v>0.044895833333333336</v>
      </c>
      <c r="G2289" s="21"/>
    </row>
    <row r="2290">
      <c r="A2290" s="4" t="s">
        <v>1923</v>
      </c>
      <c r="B2290" s="10">
        <v>2450132.0</v>
      </c>
      <c r="C2290" s="16" t="s">
        <v>1934</v>
      </c>
      <c r="D2290" s="12" t="s">
        <v>34</v>
      </c>
      <c r="E2290" s="13" t="s">
        <v>15</v>
      </c>
      <c r="F2290" s="14">
        <v>0.01925925925925926</v>
      </c>
      <c r="G2290" s="21"/>
    </row>
    <row r="2291">
      <c r="A2291" s="4" t="s">
        <v>1923</v>
      </c>
      <c r="B2291" s="10">
        <v>5022323.0</v>
      </c>
      <c r="C2291" s="16" t="s">
        <v>1308</v>
      </c>
      <c r="D2291" s="12" t="s">
        <v>34</v>
      </c>
      <c r="E2291" s="13" t="s">
        <v>15</v>
      </c>
      <c r="F2291" s="14">
        <v>0.027060185185185184</v>
      </c>
      <c r="G2291" s="21"/>
    </row>
    <row r="2292">
      <c r="A2292" s="4" t="s">
        <v>1923</v>
      </c>
      <c r="B2292" s="10">
        <v>5015879.0</v>
      </c>
      <c r="C2292" s="16" t="s">
        <v>1840</v>
      </c>
      <c r="D2292" s="12" t="s">
        <v>34</v>
      </c>
      <c r="E2292" s="13" t="s">
        <v>15</v>
      </c>
      <c r="F2292" s="14">
        <v>0.014861111111111111</v>
      </c>
      <c r="G2292" s="21"/>
    </row>
    <row r="2293">
      <c r="A2293" s="4" t="s">
        <v>1923</v>
      </c>
      <c r="B2293" s="10">
        <v>5015881.0</v>
      </c>
      <c r="C2293" s="16" t="s">
        <v>1935</v>
      </c>
      <c r="D2293" s="12" t="s">
        <v>34</v>
      </c>
      <c r="E2293" s="13" t="s">
        <v>15</v>
      </c>
      <c r="F2293" s="14">
        <v>0.01326388888888889</v>
      </c>
      <c r="G2293" s="21"/>
    </row>
    <row r="2294">
      <c r="A2294" s="4" t="s">
        <v>1923</v>
      </c>
      <c r="B2294" s="10">
        <v>2802466.0</v>
      </c>
      <c r="C2294" s="16" t="s">
        <v>199</v>
      </c>
      <c r="D2294" s="12" t="s">
        <v>34</v>
      </c>
      <c r="E2294" s="13" t="s">
        <v>15</v>
      </c>
      <c r="F2294" s="14">
        <v>0.016840277777777777</v>
      </c>
      <c r="G2294" s="21"/>
    </row>
    <row r="2295">
      <c r="A2295" s="4" t="s">
        <v>1923</v>
      </c>
      <c r="B2295" s="10">
        <v>5022327.0</v>
      </c>
      <c r="C2295" s="16" t="s">
        <v>125</v>
      </c>
      <c r="D2295" s="12" t="s">
        <v>34</v>
      </c>
      <c r="E2295" s="13" t="s">
        <v>15</v>
      </c>
      <c r="F2295" s="14">
        <v>0.014861111111111111</v>
      </c>
      <c r="G2295" s="21"/>
    </row>
    <row r="2296">
      <c r="A2296" s="4" t="s">
        <v>1923</v>
      </c>
      <c r="B2296" s="10">
        <v>797723.0</v>
      </c>
      <c r="C2296" s="16" t="s">
        <v>321</v>
      </c>
      <c r="D2296" s="12" t="s">
        <v>34</v>
      </c>
      <c r="E2296" s="13" t="s">
        <v>15</v>
      </c>
      <c r="F2296" s="14">
        <v>0.02423611111111111</v>
      </c>
      <c r="G2296" s="21"/>
    </row>
    <row r="2297">
      <c r="A2297" s="4" t="s">
        <v>1923</v>
      </c>
      <c r="B2297" s="10">
        <v>656781.0</v>
      </c>
      <c r="C2297" s="16" t="s">
        <v>190</v>
      </c>
      <c r="D2297" s="12" t="s">
        <v>34</v>
      </c>
      <c r="E2297" s="13" t="s">
        <v>15</v>
      </c>
      <c r="F2297" s="14">
        <v>0.03</v>
      </c>
      <c r="G2297" s="21"/>
    </row>
    <row r="2298">
      <c r="A2298" s="4" t="s">
        <v>1923</v>
      </c>
      <c r="B2298" s="10">
        <v>175129.0</v>
      </c>
      <c r="C2298" s="16" t="s">
        <v>191</v>
      </c>
      <c r="D2298" s="12" t="s">
        <v>34</v>
      </c>
      <c r="E2298" s="13" t="s">
        <v>15</v>
      </c>
      <c r="F2298" s="14">
        <v>0.017361111111111112</v>
      </c>
      <c r="G2298" s="21"/>
    </row>
    <row r="2299">
      <c r="A2299" s="4" t="s">
        <v>1923</v>
      </c>
      <c r="B2299" s="10">
        <v>174923.0</v>
      </c>
      <c r="C2299" s="16" t="s">
        <v>319</v>
      </c>
      <c r="D2299" s="12" t="s">
        <v>34</v>
      </c>
      <c r="E2299" s="13" t="s">
        <v>15</v>
      </c>
      <c r="F2299" s="14">
        <v>0.03179398148148148</v>
      </c>
      <c r="G2299" s="21"/>
    </row>
    <row r="2300">
      <c r="A2300" s="4" t="s">
        <v>1923</v>
      </c>
      <c r="B2300" s="10">
        <v>778180.0</v>
      </c>
      <c r="C2300" s="16" t="s">
        <v>320</v>
      </c>
      <c r="D2300" s="12" t="s">
        <v>34</v>
      </c>
      <c r="E2300" s="13" t="s">
        <v>15</v>
      </c>
      <c r="F2300" s="14">
        <v>0.023703703703703703</v>
      </c>
      <c r="G2300" s="21"/>
    </row>
    <row r="2301">
      <c r="A2301" s="4" t="s">
        <v>1923</v>
      </c>
      <c r="B2301" s="10">
        <v>808670.0</v>
      </c>
      <c r="C2301" s="16" t="s">
        <v>406</v>
      </c>
      <c r="D2301" s="12" t="s">
        <v>34</v>
      </c>
      <c r="E2301" s="13" t="s">
        <v>15</v>
      </c>
      <c r="F2301" s="14">
        <v>0.03384259259259259</v>
      </c>
      <c r="G2301" s="21"/>
    </row>
    <row r="2302">
      <c r="A2302" s="4" t="s">
        <v>1923</v>
      </c>
      <c r="B2302" s="10">
        <v>713373.0</v>
      </c>
      <c r="C2302" s="16" t="s">
        <v>1309</v>
      </c>
      <c r="D2302" s="12" t="s">
        <v>34</v>
      </c>
      <c r="E2302" s="13" t="s">
        <v>15</v>
      </c>
      <c r="F2302" s="14">
        <v>0.023796296296296298</v>
      </c>
      <c r="G2302" s="21"/>
    </row>
    <row r="2303">
      <c r="A2303" s="4" t="s">
        <v>1923</v>
      </c>
      <c r="B2303" s="10">
        <v>672869.0</v>
      </c>
      <c r="C2303" s="16" t="s">
        <v>1310</v>
      </c>
      <c r="D2303" s="12" t="s">
        <v>34</v>
      </c>
      <c r="E2303" s="13" t="s">
        <v>15</v>
      </c>
      <c r="F2303" s="14">
        <v>0.03189814814814815</v>
      </c>
      <c r="G2303" s="21"/>
    </row>
    <row r="2304">
      <c r="A2304" s="4" t="s">
        <v>1923</v>
      </c>
      <c r="B2304" s="10">
        <v>647651.0</v>
      </c>
      <c r="C2304" s="16" t="s">
        <v>1311</v>
      </c>
      <c r="D2304" s="12" t="s">
        <v>34</v>
      </c>
      <c r="E2304" s="13" t="s">
        <v>15</v>
      </c>
      <c r="F2304" s="14">
        <v>0.030532407407407407</v>
      </c>
      <c r="G2304" s="21"/>
    </row>
    <row r="2305">
      <c r="A2305" s="4" t="s">
        <v>1923</v>
      </c>
      <c r="B2305" s="10">
        <v>2802024.0</v>
      </c>
      <c r="C2305" s="16" t="s">
        <v>1312</v>
      </c>
      <c r="D2305" s="12" t="s">
        <v>34</v>
      </c>
      <c r="E2305" s="13" t="s">
        <v>15</v>
      </c>
      <c r="F2305" s="14">
        <v>0.046168981481481484</v>
      </c>
      <c r="G2305" s="21"/>
    </row>
    <row r="2306">
      <c r="A2306" s="4" t="s">
        <v>1923</v>
      </c>
      <c r="B2306" s="10">
        <v>2812534.0</v>
      </c>
      <c r="C2306" s="16" t="s">
        <v>1313</v>
      </c>
      <c r="D2306" s="12" t="s">
        <v>34</v>
      </c>
      <c r="E2306" s="13" t="s">
        <v>15</v>
      </c>
      <c r="F2306" s="14">
        <v>0.039467592592592596</v>
      </c>
      <c r="G2306" s="21"/>
    </row>
    <row r="2307">
      <c r="A2307" s="4" t="s">
        <v>1923</v>
      </c>
      <c r="B2307" s="10">
        <v>2885092.0</v>
      </c>
      <c r="C2307" s="16" t="s">
        <v>1369</v>
      </c>
      <c r="D2307" s="12" t="s">
        <v>34</v>
      </c>
      <c r="E2307" s="13" t="s">
        <v>15</v>
      </c>
      <c r="F2307" s="14">
        <v>0.05008101851851852</v>
      </c>
      <c r="G2307" s="21"/>
    </row>
    <row r="2308">
      <c r="A2308" s="4" t="s">
        <v>1923</v>
      </c>
      <c r="B2308" s="10">
        <v>2882043.0</v>
      </c>
      <c r="C2308" s="16" t="s">
        <v>1370</v>
      </c>
      <c r="D2308" s="12" t="s">
        <v>34</v>
      </c>
      <c r="E2308" s="13" t="s">
        <v>15</v>
      </c>
      <c r="F2308" s="14">
        <v>0.05641203703703704</v>
      </c>
      <c r="G2308" s="21"/>
    </row>
    <row r="2309">
      <c r="A2309" s="4" t="s">
        <v>1923</v>
      </c>
      <c r="B2309" s="10">
        <v>5015876.0</v>
      </c>
      <c r="C2309" s="16" t="s">
        <v>1691</v>
      </c>
      <c r="D2309" s="12" t="s">
        <v>34</v>
      </c>
      <c r="E2309" s="13" t="s">
        <v>15</v>
      </c>
      <c r="F2309" s="14">
        <v>0.016319444444444445</v>
      </c>
      <c r="G2309" s="21"/>
    </row>
    <row r="2310">
      <c r="A2310" s="4" t="s">
        <v>1923</v>
      </c>
      <c r="B2310" s="10">
        <v>2822677.0</v>
      </c>
      <c r="C2310" s="16" t="s">
        <v>1314</v>
      </c>
      <c r="D2310" s="12" t="s">
        <v>34</v>
      </c>
      <c r="E2310" s="13" t="s">
        <v>15</v>
      </c>
      <c r="F2310" s="14">
        <v>0.027094907407407408</v>
      </c>
      <c r="G2310" s="21"/>
    </row>
    <row r="2311">
      <c r="A2311" s="4" t="s">
        <v>1923</v>
      </c>
      <c r="B2311" s="10">
        <v>2890082.0</v>
      </c>
      <c r="C2311" s="16" t="s">
        <v>1936</v>
      </c>
      <c r="D2311" s="12" t="s">
        <v>34</v>
      </c>
      <c r="E2311" s="13" t="s">
        <v>15</v>
      </c>
      <c r="F2311" s="14">
        <v>0.03273148148148148</v>
      </c>
      <c r="G2311" s="21"/>
    </row>
    <row r="2312">
      <c r="A2312" s="4" t="s">
        <v>1923</v>
      </c>
      <c r="B2312" s="10">
        <v>2893109.0</v>
      </c>
      <c r="C2312" s="16" t="s">
        <v>1842</v>
      </c>
      <c r="D2312" s="12" t="s">
        <v>34</v>
      </c>
      <c r="E2312" s="13" t="s">
        <v>15</v>
      </c>
      <c r="F2312" s="14">
        <v>0.02662037037037037</v>
      </c>
      <c r="G2312" s="21"/>
    </row>
    <row r="2313">
      <c r="A2313" s="4" t="s">
        <v>1923</v>
      </c>
      <c r="B2313" s="10">
        <v>2424407.0</v>
      </c>
      <c r="C2313" s="16" t="s">
        <v>1937</v>
      </c>
      <c r="D2313" s="12" t="s">
        <v>34</v>
      </c>
      <c r="E2313" s="13" t="s">
        <v>15</v>
      </c>
      <c r="F2313" s="14">
        <v>0.01990740740740741</v>
      </c>
      <c r="G2313" s="21"/>
    </row>
    <row r="2314">
      <c r="A2314" s="4" t="s">
        <v>1923</v>
      </c>
      <c r="B2314" s="10">
        <v>2874216.0</v>
      </c>
      <c r="C2314" s="16" t="s">
        <v>1376</v>
      </c>
      <c r="D2314" s="12" t="s">
        <v>26</v>
      </c>
      <c r="E2314" s="13" t="s">
        <v>38</v>
      </c>
      <c r="F2314" s="14">
        <v>0.02375</v>
      </c>
      <c r="G2314" s="21"/>
    </row>
    <row r="2315">
      <c r="A2315" s="4" t="s">
        <v>1923</v>
      </c>
      <c r="B2315" s="10">
        <v>2846053.0</v>
      </c>
      <c r="C2315" s="16" t="s">
        <v>210</v>
      </c>
      <c r="D2315" s="12" t="s">
        <v>26</v>
      </c>
      <c r="E2315" s="13" t="s">
        <v>38</v>
      </c>
      <c r="F2315" s="14">
        <v>0.02045138888888889</v>
      </c>
      <c r="G2315" s="21"/>
    </row>
    <row r="2316">
      <c r="A2316" s="4" t="s">
        <v>1923</v>
      </c>
      <c r="B2316" s="10">
        <v>2877030.0</v>
      </c>
      <c r="C2316" s="16" t="s">
        <v>339</v>
      </c>
      <c r="D2316" s="12" t="s">
        <v>26</v>
      </c>
      <c r="E2316" s="13" t="s">
        <v>38</v>
      </c>
      <c r="F2316" s="14">
        <v>0.014733796296296297</v>
      </c>
      <c r="G2316" s="21"/>
    </row>
    <row r="2317">
      <c r="A2317" s="4" t="s">
        <v>1923</v>
      </c>
      <c r="B2317" s="10">
        <v>2297061.0</v>
      </c>
      <c r="C2317" s="16" t="s">
        <v>1322</v>
      </c>
      <c r="D2317" s="12" t="s">
        <v>26</v>
      </c>
      <c r="E2317" s="13" t="s">
        <v>38</v>
      </c>
      <c r="F2317" s="14">
        <v>0.03467592592592592</v>
      </c>
      <c r="G2317" s="21"/>
    </row>
    <row r="2318">
      <c r="A2318" s="4" t="s">
        <v>1923</v>
      </c>
      <c r="B2318" s="10">
        <v>2974166.0</v>
      </c>
      <c r="C2318" s="16" t="s">
        <v>1303</v>
      </c>
      <c r="D2318" s="12" t="s">
        <v>26</v>
      </c>
      <c r="E2318" s="13" t="s">
        <v>38</v>
      </c>
      <c r="F2318" s="14">
        <v>0.03868055555555556</v>
      </c>
      <c r="G2318" s="21"/>
    </row>
    <row r="2319">
      <c r="A2319" s="4" t="s">
        <v>1923</v>
      </c>
      <c r="B2319" s="10">
        <v>2834000.0</v>
      </c>
      <c r="C2319" s="16" t="s">
        <v>1325</v>
      </c>
      <c r="D2319" s="12" t="s">
        <v>26</v>
      </c>
      <c r="E2319" s="13" t="s">
        <v>38</v>
      </c>
      <c r="F2319" s="14">
        <v>0.029988425925925925</v>
      </c>
      <c r="G2319" s="21"/>
    </row>
    <row r="2320">
      <c r="A2320" s="4" t="s">
        <v>1923</v>
      </c>
      <c r="B2320" s="10">
        <v>2974329.0</v>
      </c>
      <c r="C2320" s="16" t="s">
        <v>343</v>
      </c>
      <c r="D2320" s="12" t="s">
        <v>26</v>
      </c>
      <c r="E2320" s="13" t="s">
        <v>38</v>
      </c>
      <c r="F2320" s="14">
        <v>0.12664351851851852</v>
      </c>
      <c r="G2320" s="21"/>
    </row>
    <row r="2321">
      <c r="A2321" s="4" t="s">
        <v>1923</v>
      </c>
      <c r="B2321" s="10">
        <v>2835068.0</v>
      </c>
      <c r="C2321" s="16" t="s">
        <v>148</v>
      </c>
      <c r="D2321" s="12" t="s">
        <v>26</v>
      </c>
      <c r="E2321" s="13" t="s">
        <v>19</v>
      </c>
      <c r="F2321" s="14">
        <v>0.022569444444444444</v>
      </c>
      <c r="G2321" s="21"/>
    </row>
    <row r="2322">
      <c r="A2322" s="4" t="s">
        <v>1923</v>
      </c>
      <c r="B2322" s="10">
        <v>2822414.0</v>
      </c>
      <c r="C2322" s="16" t="s">
        <v>1377</v>
      </c>
      <c r="D2322" s="12" t="s">
        <v>26</v>
      </c>
      <c r="E2322" s="13" t="s">
        <v>19</v>
      </c>
      <c r="F2322" s="14">
        <v>0.052395833333333336</v>
      </c>
      <c r="G2322" s="21"/>
    </row>
    <row r="2323">
      <c r="A2323" s="4" t="s">
        <v>1923</v>
      </c>
      <c r="B2323" s="10">
        <v>2822683.0</v>
      </c>
      <c r="C2323" s="16" t="s">
        <v>36</v>
      </c>
      <c r="D2323" s="12" t="s">
        <v>26</v>
      </c>
      <c r="E2323" s="13" t="s">
        <v>15</v>
      </c>
      <c r="F2323" s="14">
        <v>0.010833333333333334</v>
      </c>
      <c r="G2323" s="21"/>
    </row>
    <row r="2324">
      <c r="A2324" s="4" t="s">
        <v>1923</v>
      </c>
      <c r="B2324" s="10">
        <v>2814066.0</v>
      </c>
      <c r="C2324" s="16" t="s">
        <v>367</v>
      </c>
      <c r="D2324" s="12" t="s">
        <v>26</v>
      </c>
      <c r="E2324" s="13" t="s">
        <v>15</v>
      </c>
      <c r="F2324" s="14">
        <v>0.02802083333333333</v>
      </c>
      <c r="G2324" s="21"/>
    </row>
    <row r="2325">
      <c r="A2325" s="4" t="s">
        <v>1923</v>
      </c>
      <c r="B2325" s="10">
        <v>2825490.0</v>
      </c>
      <c r="C2325" s="16" t="s">
        <v>369</v>
      </c>
      <c r="D2325" s="12" t="s">
        <v>26</v>
      </c>
      <c r="E2325" s="13" t="s">
        <v>15</v>
      </c>
      <c r="F2325" s="14">
        <v>0.027372685185185184</v>
      </c>
      <c r="G2325" s="21"/>
    </row>
    <row r="2326">
      <c r="A2326" s="4" t="s">
        <v>1923</v>
      </c>
      <c r="B2326" s="10">
        <v>2822642.0</v>
      </c>
      <c r="C2326" s="16" t="s">
        <v>1058</v>
      </c>
      <c r="D2326" s="12" t="s">
        <v>26</v>
      </c>
      <c r="E2326" s="13" t="s">
        <v>15</v>
      </c>
      <c r="F2326" s="14">
        <v>0.024386574074074074</v>
      </c>
      <c r="G2326" s="21"/>
    </row>
    <row r="2327">
      <c r="A2327" s="4" t="s">
        <v>1923</v>
      </c>
      <c r="B2327" s="10">
        <v>2838146.0</v>
      </c>
      <c r="C2327" s="16" t="s">
        <v>1263</v>
      </c>
      <c r="D2327" s="12" t="s">
        <v>26</v>
      </c>
      <c r="E2327" s="13" t="s">
        <v>15</v>
      </c>
      <c r="F2327" s="14">
        <v>0.03200231481481482</v>
      </c>
      <c r="G2327" s="21"/>
    </row>
    <row r="2328">
      <c r="A2328" s="4" t="s">
        <v>1923</v>
      </c>
      <c r="B2328" s="10">
        <v>2824379.0</v>
      </c>
      <c r="C2328" s="16" t="s">
        <v>1331</v>
      </c>
      <c r="D2328" s="12" t="s">
        <v>26</v>
      </c>
      <c r="E2328" s="13" t="s">
        <v>15</v>
      </c>
      <c r="F2328" s="14">
        <v>0.02185185185185185</v>
      </c>
      <c r="G2328" s="21"/>
    </row>
    <row r="2329">
      <c r="A2329" s="4" t="s">
        <v>1923</v>
      </c>
      <c r="B2329" s="10">
        <v>2836021.0</v>
      </c>
      <c r="C2329" s="16" t="s">
        <v>1332</v>
      </c>
      <c r="D2329" s="12" t="s">
        <v>26</v>
      </c>
      <c r="E2329" s="13" t="s">
        <v>15</v>
      </c>
      <c r="F2329" s="14">
        <v>0.03795138888888889</v>
      </c>
      <c r="G2329" s="21"/>
    </row>
    <row r="2330">
      <c r="A2330" s="4" t="s">
        <v>1923</v>
      </c>
      <c r="B2330" s="10">
        <v>483102.0</v>
      </c>
      <c r="C2330" s="16" t="s">
        <v>1334</v>
      </c>
      <c r="D2330" s="12" t="s">
        <v>26</v>
      </c>
      <c r="E2330" s="13" t="s">
        <v>15</v>
      </c>
      <c r="F2330" s="14">
        <v>0.09143518518518519</v>
      </c>
      <c r="G2330" s="21"/>
    </row>
    <row r="2331">
      <c r="A2331" s="4" t="s">
        <v>1923</v>
      </c>
      <c r="B2331" s="10">
        <v>2824374.0</v>
      </c>
      <c r="C2331" s="16" t="s">
        <v>1336</v>
      </c>
      <c r="D2331" s="12" t="s">
        <v>26</v>
      </c>
      <c r="E2331" s="13" t="s">
        <v>15</v>
      </c>
      <c r="F2331" s="14">
        <v>0.024583333333333332</v>
      </c>
      <c r="G2331" s="21"/>
    </row>
    <row r="2332">
      <c r="A2332" s="4" t="s">
        <v>1923</v>
      </c>
      <c r="B2332" s="10">
        <v>800197.0</v>
      </c>
      <c r="C2332" s="16" t="s">
        <v>1806</v>
      </c>
      <c r="D2332" s="12" t="s">
        <v>26</v>
      </c>
      <c r="E2332" s="13" t="s">
        <v>15</v>
      </c>
      <c r="F2332" s="14">
        <v>0.04584490740740741</v>
      </c>
      <c r="G2332" s="21"/>
    </row>
    <row r="2333">
      <c r="A2333" s="4" t="s">
        <v>1923</v>
      </c>
      <c r="B2333" s="10">
        <v>2833004.0</v>
      </c>
      <c r="C2333" s="16" t="s">
        <v>95</v>
      </c>
      <c r="D2333" s="12" t="s">
        <v>26</v>
      </c>
      <c r="E2333" s="13" t="s">
        <v>26</v>
      </c>
      <c r="F2333" s="14">
        <v>0.018113425925925925</v>
      </c>
      <c r="G2333" s="21"/>
    </row>
    <row r="2334">
      <c r="A2334" s="4" t="s">
        <v>1923</v>
      </c>
      <c r="B2334" s="10">
        <v>2874051.0</v>
      </c>
      <c r="C2334" s="16" t="s">
        <v>385</v>
      </c>
      <c r="D2334" s="12" t="s">
        <v>26</v>
      </c>
      <c r="E2334" s="13" t="s">
        <v>26</v>
      </c>
      <c r="F2334" s="14">
        <v>0.03459490740740741</v>
      </c>
      <c r="G2334" s="21"/>
    </row>
    <row r="2335">
      <c r="A2335" s="4" t="s">
        <v>1923</v>
      </c>
      <c r="B2335" s="10">
        <v>2832037.0</v>
      </c>
      <c r="C2335" s="16" t="s">
        <v>422</v>
      </c>
      <c r="D2335" s="12" t="s">
        <v>26</v>
      </c>
      <c r="E2335" s="13" t="s">
        <v>26</v>
      </c>
      <c r="F2335" s="14">
        <v>0.012650462962962962</v>
      </c>
      <c r="G2335" s="21"/>
    </row>
    <row r="2336">
      <c r="A2336" s="4" t="s">
        <v>1923</v>
      </c>
      <c r="B2336" s="10">
        <v>2800408.0</v>
      </c>
      <c r="C2336" s="16" t="s">
        <v>1342</v>
      </c>
      <c r="D2336" s="12" t="s">
        <v>26</v>
      </c>
      <c r="E2336" s="13" t="s">
        <v>26</v>
      </c>
      <c r="F2336" s="14">
        <v>0.04358796296296296</v>
      </c>
      <c r="G2336" s="21"/>
    </row>
    <row r="2337">
      <c r="A2337" s="35"/>
      <c r="B2337" s="36"/>
      <c r="C2337" s="37"/>
      <c r="D2337" s="38"/>
      <c r="E2337" s="39"/>
      <c r="F2337" s="40"/>
      <c r="G2337" s="41"/>
    </row>
  </sheetData>
  <autoFilter ref="$A$1:$G$2336"/>
  <hyperlinks>
    <hyperlink r:id="rId1" ref="C3"/>
    <hyperlink r:id="rId2" ref="G3"/>
    <hyperlink r:id="rId3" ref="C4"/>
    <hyperlink r:id="rId4" ref="G4"/>
    <hyperlink r:id="rId5" ref="C5"/>
    <hyperlink r:id="rId6" ref="G5"/>
    <hyperlink r:id="rId7" ref="C6"/>
    <hyperlink r:id="rId8" ref="G6"/>
    <hyperlink r:id="rId9" ref="C7"/>
    <hyperlink r:id="rId10" ref="G7"/>
    <hyperlink r:id="rId11" ref="C8"/>
    <hyperlink r:id="rId12" ref="C9"/>
    <hyperlink r:id="rId13" ref="C10"/>
    <hyperlink r:id="rId14" ref="C11"/>
    <hyperlink r:id="rId15" ref="C12"/>
    <hyperlink r:id="rId16" ref="C13"/>
    <hyperlink r:id="rId17" ref="C14"/>
    <hyperlink r:id="rId18" ref="C15"/>
    <hyperlink r:id="rId19" ref="C16"/>
    <hyperlink r:id="rId20" ref="C17"/>
    <hyperlink r:id="rId21" ref="C18"/>
    <hyperlink r:id="rId22" ref="C19"/>
    <hyperlink r:id="rId23" ref="C20"/>
    <hyperlink r:id="rId24" ref="C21"/>
    <hyperlink r:id="rId25" ref="C22"/>
    <hyperlink r:id="rId26" ref="C23"/>
    <hyperlink r:id="rId27" ref="C24"/>
    <hyperlink r:id="rId28" ref="C25"/>
    <hyperlink r:id="rId29" ref="C26"/>
    <hyperlink r:id="rId30" ref="C27"/>
    <hyperlink r:id="rId31" ref="C28"/>
    <hyperlink r:id="rId32" ref="C29"/>
    <hyperlink r:id="rId33" ref="C30"/>
    <hyperlink r:id="rId34" ref="C31"/>
    <hyperlink r:id="rId35" ref="C32"/>
    <hyperlink r:id="rId36" ref="C33"/>
    <hyperlink r:id="rId37" ref="C34"/>
    <hyperlink r:id="rId38" ref="C35"/>
    <hyperlink r:id="rId39" ref="C36"/>
    <hyperlink r:id="rId40" ref="C37"/>
    <hyperlink r:id="rId41" ref="C38"/>
    <hyperlink r:id="rId42" ref="C39"/>
    <hyperlink r:id="rId43" ref="C40"/>
    <hyperlink r:id="rId44" ref="C41"/>
    <hyperlink r:id="rId45" ref="C42"/>
    <hyperlink r:id="rId46" ref="C43"/>
    <hyperlink r:id="rId47" ref="C44"/>
    <hyperlink r:id="rId48" ref="C45"/>
    <hyperlink r:id="rId49" ref="C46"/>
    <hyperlink r:id="rId50" ref="C47"/>
    <hyperlink r:id="rId51" ref="C48"/>
    <hyperlink r:id="rId52" ref="C49"/>
    <hyperlink r:id="rId53" ref="C50"/>
    <hyperlink r:id="rId54" ref="C51"/>
    <hyperlink r:id="rId55" ref="C52"/>
    <hyperlink r:id="rId56" ref="C53"/>
    <hyperlink r:id="rId57" ref="C54"/>
    <hyperlink r:id="rId58" ref="C55"/>
    <hyperlink r:id="rId59" ref="C56"/>
    <hyperlink r:id="rId60" ref="C57"/>
    <hyperlink r:id="rId61" ref="C58"/>
    <hyperlink r:id="rId62" ref="C59"/>
    <hyperlink r:id="rId63" ref="C60"/>
    <hyperlink r:id="rId64" ref="C61"/>
    <hyperlink r:id="rId65" ref="C62"/>
    <hyperlink r:id="rId66" ref="C63"/>
    <hyperlink r:id="rId67" ref="C64"/>
    <hyperlink r:id="rId68" ref="C65"/>
    <hyperlink r:id="rId69" ref="C66"/>
    <hyperlink r:id="rId70" ref="C67"/>
    <hyperlink r:id="rId71" ref="C68"/>
    <hyperlink r:id="rId72" ref="C69"/>
    <hyperlink r:id="rId73" ref="C70"/>
    <hyperlink r:id="rId74" ref="C71"/>
    <hyperlink r:id="rId75" ref="C72"/>
    <hyperlink r:id="rId76" ref="C73"/>
    <hyperlink r:id="rId77" ref="C74"/>
    <hyperlink r:id="rId78" ref="C75"/>
    <hyperlink r:id="rId79" ref="C76"/>
    <hyperlink r:id="rId80" ref="C77"/>
    <hyperlink r:id="rId81" ref="C78"/>
    <hyperlink r:id="rId82" ref="C79"/>
    <hyperlink r:id="rId83" ref="C80"/>
    <hyperlink r:id="rId84" ref="C81"/>
    <hyperlink r:id="rId85" ref="C82"/>
    <hyperlink r:id="rId86" ref="C83"/>
    <hyperlink r:id="rId87" ref="C85"/>
    <hyperlink r:id="rId88" ref="G85"/>
    <hyperlink r:id="rId89" ref="C86"/>
    <hyperlink r:id="rId90" ref="G86"/>
    <hyperlink r:id="rId91" ref="C87"/>
    <hyperlink r:id="rId92" ref="G87"/>
    <hyperlink r:id="rId93" ref="C88"/>
    <hyperlink r:id="rId94" ref="G88"/>
    <hyperlink r:id="rId95" ref="C89"/>
    <hyperlink r:id="rId96" ref="C90"/>
    <hyperlink r:id="rId97" ref="C91"/>
    <hyperlink r:id="rId98" ref="C92"/>
    <hyperlink r:id="rId99" ref="C93"/>
    <hyperlink r:id="rId100" ref="C94"/>
    <hyperlink r:id="rId101" ref="C95"/>
    <hyperlink r:id="rId102" ref="C96"/>
    <hyperlink r:id="rId103" ref="C97"/>
    <hyperlink r:id="rId104" ref="C98"/>
    <hyperlink r:id="rId105" ref="C99"/>
    <hyperlink r:id="rId106" ref="C100"/>
    <hyperlink r:id="rId107" ref="C101"/>
    <hyperlink r:id="rId108" ref="C102"/>
    <hyperlink r:id="rId109" ref="C103"/>
    <hyperlink r:id="rId110" ref="C104"/>
    <hyperlink r:id="rId111" ref="C105"/>
    <hyperlink r:id="rId112" ref="C106"/>
    <hyperlink r:id="rId113" ref="C107"/>
    <hyperlink r:id="rId114" ref="C108"/>
    <hyperlink r:id="rId115" ref="C109"/>
    <hyperlink r:id="rId116" ref="C110"/>
    <hyperlink r:id="rId117" ref="C111"/>
    <hyperlink r:id="rId118" ref="C112"/>
    <hyperlink r:id="rId119" ref="C113"/>
    <hyperlink r:id="rId120" ref="C114"/>
    <hyperlink r:id="rId121" ref="C115"/>
    <hyperlink r:id="rId122" ref="C116"/>
    <hyperlink r:id="rId123" ref="C117"/>
    <hyperlink r:id="rId124" ref="C118"/>
    <hyperlink r:id="rId125" ref="C119"/>
    <hyperlink r:id="rId126" ref="C120"/>
    <hyperlink r:id="rId127" ref="C121"/>
    <hyperlink r:id="rId128" ref="C122"/>
    <hyperlink r:id="rId129" ref="C123"/>
    <hyperlink r:id="rId130" ref="C124"/>
    <hyperlink r:id="rId131" ref="C125"/>
    <hyperlink r:id="rId132" ref="C126"/>
    <hyperlink r:id="rId133" ref="C127"/>
    <hyperlink r:id="rId134" ref="C128"/>
    <hyperlink r:id="rId135" ref="C129"/>
    <hyperlink r:id="rId136" ref="C130"/>
    <hyperlink r:id="rId137" ref="C131"/>
    <hyperlink r:id="rId138" ref="C132"/>
    <hyperlink r:id="rId139" ref="C133"/>
    <hyperlink r:id="rId140" ref="C134"/>
    <hyperlink r:id="rId141" ref="C135"/>
    <hyperlink r:id="rId142" ref="C136"/>
    <hyperlink r:id="rId143" ref="C137"/>
    <hyperlink r:id="rId144" ref="C138"/>
    <hyperlink r:id="rId145" ref="C139"/>
    <hyperlink r:id="rId146" ref="C140"/>
    <hyperlink r:id="rId147" ref="C142"/>
    <hyperlink r:id="rId148" ref="G142"/>
    <hyperlink r:id="rId149" ref="C143"/>
    <hyperlink r:id="rId150" ref="G143"/>
    <hyperlink r:id="rId151" ref="C144"/>
    <hyperlink r:id="rId152" ref="G144"/>
    <hyperlink r:id="rId153" ref="C145"/>
    <hyperlink r:id="rId154" ref="G145"/>
    <hyperlink r:id="rId155" ref="C146"/>
    <hyperlink r:id="rId156" ref="G146"/>
    <hyperlink r:id="rId157" ref="C147"/>
    <hyperlink r:id="rId158" ref="G147"/>
    <hyperlink r:id="rId159" ref="C148"/>
    <hyperlink r:id="rId160" ref="C149"/>
    <hyperlink r:id="rId161" ref="C150"/>
    <hyperlink r:id="rId162" ref="C151"/>
    <hyperlink r:id="rId163" ref="C152"/>
    <hyperlink r:id="rId164" ref="C153"/>
    <hyperlink r:id="rId165" ref="C154"/>
    <hyperlink r:id="rId166" ref="C155"/>
    <hyperlink r:id="rId167" ref="C156"/>
    <hyperlink r:id="rId168" ref="C157"/>
    <hyperlink r:id="rId169" ref="C158"/>
    <hyperlink r:id="rId170" ref="C159"/>
    <hyperlink r:id="rId171" ref="C160"/>
    <hyperlink r:id="rId172" ref="C161"/>
    <hyperlink r:id="rId173" ref="C162"/>
    <hyperlink r:id="rId174" ref="C163"/>
    <hyperlink r:id="rId175" ref="C164"/>
    <hyperlink r:id="rId176" ref="C165"/>
    <hyperlink r:id="rId177" ref="C166"/>
    <hyperlink r:id="rId178" ref="C167"/>
    <hyperlink r:id="rId179" ref="C168"/>
    <hyperlink r:id="rId180" ref="C169"/>
    <hyperlink r:id="rId181" ref="C170"/>
    <hyperlink r:id="rId182" ref="C171"/>
    <hyperlink r:id="rId183" ref="C172"/>
    <hyperlink r:id="rId184" ref="C173"/>
    <hyperlink r:id="rId185" ref="C174"/>
    <hyperlink r:id="rId186" ref="C175"/>
    <hyperlink r:id="rId187" ref="C176"/>
    <hyperlink r:id="rId188" ref="C177"/>
    <hyperlink r:id="rId189" ref="C178"/>
    <hyperlink r:id="rId190" ref="C179"/>
    <hyperlink r:id="rId191" ref="C180"/>
    <hyperlink r:id="rId192" ref="C181"/>
    <hyperlink r:id="rId193" ref="C182"/>
    <hyperlink r:id="rId194" ref="C183"/>
    <hyperlink r:id="rId195" ref="C184"/>
    <hyperlink r:id="rId196" ref="C185"/>
    <hyperlink r:id="rId197" ref="C186"/>
    <hyperlink r:id="rId198" ref="C187"/>
    <hyperlink r:id="rId199" ref="C188"/>
    <hyperlink r:id="rId200" ref="C189"/>
    <hyperlink r:id="rId201" ref="C190"/>
    <hyperlink r:id="rId202" ref="C191"/>
    <hyperlink r:id="rId203" ref="C192"/>
    <hyperlink r:id="rId204" ref="C193"/>
    <hyperlink r:id="rId205" ref="C194"/>
    <hyperlink r:id="rId206" ref="C195"/>
    <hyperlink r:id="rId207" ref="C196"/>
    <hyperlink r:id="rId208" ref="C197"/>
    <hyperlink r:id="rId209" ref="C198"/>
    <hyperlink r:id="rId210" ref="C199"/>
    <hyperlink r:id="rId211" ref="C200"/>
    <hyperlink r:id="rId212" ref="C201"/>
    <hyperlink r:id="rId213" ref="C202"/>
    <hyperlink r:id="rId214" ref="C203"/>
    <hyperlink r:id="rId215" ref="C204"/>
    <hyperlink r:id="rId216" ref="C205"/>
    <hyperlink r:id="rId217" ref="C207"/>
    <hyperlink r:id="rId218" ref="G207"/>
    <hyperlink r:id="rId219" ref="C208"/>
    <hyperlink r:id="rId220" ref="G208"/>
    <hyperlink r:id="rId221" ref="C209"/>
    <hyperlink r:id="rId222" ref="G209"/>
    <hyperlink r:id="rId223" ref="C210"/>
    <hyperlink r:id="rId224" ref="G210"/>
    <hyperlink r:id="rId225" ref="C211"/>
    <hyperlink r:id="rId226" ref="G211"/>
    <hyperlink r:id="rId227" ref="C212"/>
    <hyperlink r:id="rId228" ref="G212"/>
    <hyperlink r:id="rId229" ref="C213"/>
    <hyperlink r:id="rId230" ref="C214"/>
    <hyperlink r:id="rId231" ref="C215"/>
    <hyperlink r:id="rId232" ref="C216"/>
    <hyperlink r:id="rId233" ref="C217"/>
    <hyperlink r:id="rId234" ref="C218"/>
    <hyperlink r:id="rId235" ref="C219"/>
    <hyperlink r:id="rId236" ref="C220"/>
    <hyperlink r:id="rId237" ref="C221"/>
    <hyperlink r:id="rId238" ref="C222"/>
    <hyperlink r:id="rId239" ref="C223"/>
    <hyperlink r:id="rId240" ref="C224"/>
    <hyperlink r:id="rId241" ref="C225"/>
    <hyperlink r:id="rId242" ref="C226"/>
    <hyperlink r:id="rId243" ref="C227"/>
    <hyperlink r:id="rId244" ref="C228"/>
    <hyperlink r:id="rId245" ref="C229"/>
    <hyperlink r:id="rId246" ref="C230"/>
    <hyperlink r:id="rId247" ref="C231"/>
    <hyperlink r:id="rId248" ref="C232"/>
    <hyperlink r:id="rId249" ref="C233"/>
    <hyperlink r:id="rId250" ref="C234"/>
    <hyperlink r:id="rId251" ref="C235"/>
    <hyperlink r:id="rId252" ref="C236"/>
    <hyperlink r:id="rId253" ref="C237"/>
    <hyperlink r:id="rId254" ref="C238"/>
    <hyperlink r:id="rId255" ref="C239"/>
    <hyperlink r:id="rId256" ref="C240"/>
    <hyperlink r:id="rId257" ref="C241"/>
    <hyperlink r:id="rId258" ref="C242"/>
    <hyperlink r:id="rId259" ref="C243"/>
    <hyperlink r:id="rId260" ref="C244"/>
    <hyperlink r:id="rId261" ref="C245"/>
    <hyperlink r:id="rId262" ref="C246"/>
    <hyperlink r:id="rId263" ref="C247"/>
    <hyperlink r:id="rId264" ref="C248"/>
    <hyperlink r:id="rId265" ref="C249"/>
    <hyperlink r:id="rId266" ref="C250"/>
    <hyperlink r:id="rId267" ref="C251"/>
    <hyperlink r:id="rId268" ref="C252"/>
    <hyperlink r:id="rId269" ref="C253"/>
    <hyperlink r:id="rId270" ref="C254"/>
    <hyperlink r:id="rId271" ref="C255"/>
    <hyperlink r:id="rId272" ref="C256"/>
    <hyperlink r:id="rId273" ref="C257"/>
    <hyperlink r:id="rId274" ref="C258"/>
    <hyperlink r:id="rId275" ref="C259"/>
    <hyperlink r:id="rId276" ref="C260"/>
    <hyperlink r:id="rId277" ref="C261"/>
    <hyperlink r:id="rId278" ref="C262"/>
    <hyperlink r:id="rId279" ref="C263"/>
    <hyperlink r:id="rId280" ref="C264"/>
    <hyperlink r:id="rId281" ref="C265"/>
    <hyperlink r:id="rId282" ref="C266"/>
    <hyperlink r:id="rId283" ref="C267"/>
    <hyperlink r:id="rId284" ref="C268"/>
    <hyperlink r:id="rId285" ref="C269"/>
    <hyperlink r:id="rId286" ref="C270"/>
    <hyperlink r:id="rId287" ref="C271"/>
    <hyperlink r:id="rId288" ref="C272"/>
    <hyperlink r:id="rId289" ref="C273"/>
    <hyperlink r:id="rId290" ref="C274"/>
    <hyperlink r:id="rId291" ref="C275"/>
    <hyperlink r:id="rId292" ref="C277"/>
    <hyperlink r:id="rId293" ref="G277"/>
    <hyperlink r:id="rId294" ref="C278"/>
    <hyperlink r:id="rId295" ref="G278"/>
    <hyperlink r:id="rId296" ref="C279"/>
    <hyperlink r:id="rId297" ref="G279"/>
    <hyperlink r:id="rId298" ref="C280"/>
    <hyperlink r:id="rId299" ref="G280"/>
    <hyperlink r:id="rId300" ref="C281"/>
    <hyperlink r:id="rId301" ref="G281"/>
    <hyperlink r:id="rId302" ref="C282"/>
    <hyperlink r:id="rId303" ref="G282"/>
    <hyperlink r:id="rId304" ref="C283"/>
    <hyperlink r:id="rId305" ref="G283"/>
    <hyperlink r:id="rId306" ref="C284"/>
    <hyperlink r:id="rId307" ref="G284"/>
    <hyperlink r:id="rId308" ref="C285"/>
    <hyperlink r:id="rId309" ref="G285"/>
    <hyperlink r:id="rId310" ref="C286"/>
    <hyperlink r:id="rId311" ref="G286"/>
    <hyperlink r:id="rId312" ref="C287"/>
    <hyperlink r:id="rId313" ref="G287"/>
    <hyperlink r:id="rId314" ref="C288"/>
    <hyperlink r:id="rId315" ref="G288"/>
    <hyperlink r:id="rId316" ref="C289"/>
    <hyperlink r:id="rId317" ref="G289"/>
    <hyperlink r:id="rId318" ref="C290"/>
    <hyperlink r:id="rId319" ref="C291"/>
    <hyperlink r:id="rId320" ref="C292"/>
    <hyperlink r:id="rId321" ref="C293"/>
    <hyperlink r:id="rId322" ref="C294"/>
    <hyperlink r:id="rId323" ref="C295"/>
    <hyperlink r:id="rId324" ref="C296"/>
    <hyperlink r:id="rId325" ref="C297"/>
    <hyperlink r:id="rId326" ref="C298"/>
    <hyperlink r:id="rId327" ref="C299"/>
    <hyperlink r:id="rId328" ref="C300"/>
    <hyperlink r:id="rId329" ref="C301"/>
    <hyperlink r:id="rId330" ref="C302"/>
    <hyperlink r:id="rId331" ref="C303"/>
    <hyperlink r:id="rId332" ref="C304"/>
    <hyperlink r:id="rId333" ref="C305"/>
    <hyperlink r:id="rId334" ref="C306"/>
    <hyperlink r:id="rId335" ref="C307"/>
    <hyperlink r:id="rId336" ref="C308"/>
    <hyperlink r:id="rId337" ref="C309"/>
    <hyperlink r:id="rId338" ref="C310"/>
    <hyperlink r:id="rId339" ref="C311"/>
    <hyperlink r:id="rId340" ref="C312"/>
    <hyperlink r:id="rId341" ref="C313"/>
    <hyperlink r:id="rId342" ref="C314"/>
    <hyperlink r:id="rId343" ref="C315"/>
    <hyperlink r:id="rId344" ref="C316"/>
    <hyperlink r:id="rId345" ref="C317"/>
    <hyperlink r:id="rId346" ref="C318"/>
    <hyperlink r:id="rId347" ref="C319"/>
    <hyperlink r:id="rId348" ref="C320"/>
    <hyperlink r:id="rId349" ref="C321"/>
    <hyperlink r:id="rId350" ref="C322"/>
    <hyperlink r:id="rId351" ref="C323"/>
    <hyperlink r:id="rId352" ref="C324"/>
    <hyperlink r:id="rId353" ref="C325"/>
    <hyperlink r:id="rId354" ref="C326"/>
    <hyperlink r:id="rId355" ref="C327"/>
    <hyperlink r:id="rId356" ref="C328"/>
    <hyperlink r:id="rId357" ref="C329"/>
    <hyperlink r:id="rId358" ref="C330"/>
    <hyperlink r:id="rId359" ref="C331"/>
    <hyperlink r:id="rId360" ref="C332"/>
    <hyperlink r:id="rId361" ref="C333"/>
    <hyperlink r:id="rId362" ref="C334"/>
    <hyperlink r:id="rId363" ref="C335"/>
    <hyperlink r:id="rId364" ref="C336"/>
    <hyperlink r:id="rId365" ref="C337"/>
    <hyperlink r:id="rId366" ref="C338"/>
    <hyperlink r:id="rId367" ref="C339"/>
    <hyperlink r:id="rId368" ref="C340"/>
    <hyperlink r:id="rId369" ref="C341"/>
    <hyperlink r:id="rId370" ref="C342"/>
    <hyperlink r:id="rId371" ref="C343"/>
    <hyperlink r:id="rId372" ref="C344"/>
    <hyperlink r:id="rId373" ref="C345"/>
    <hyperlink r:id="rId374" ref="C346"/>
    <hyperlink r:id="rId375" ref="C347"/>
    <hyperlink r:id="rId376" ref="C348"/>
    <hyperlink r:id="rId377" ref="C349"/>
    <hyperlink r:id="rId378" ref="C350"/>
    <hyperlink r:id="rId379" ref="C351"/>
    <hyperlink r:id="rId380" ref="C352"/>
    <hyperlink r:id="rId381" ref="C353"/>
    <hyperlink r:id="rId382" ref="C354"/>
    <hyperlink r:id="rId383" ref="C355"/>
    <hyperlink r:id="rId384" ref="C356"/>
    <hyperlink r:id="rId385" ref="C357"/>
    <hyperlink r:id="rId386" ref="C358"/>
    <hyperlink r:id="rId387" ref="C359"/>
    <hyperlink r:id="rId388" ref="C360"/>
    <hyperlink r:id="rId389" ref="C361"/>
    <hyperlink r:id="rId390" ref="C362"/>
    <hyperlink r:id="rId391" ref="C363"/>
    <hyperlink r:id="rId392" ref="C364"/>
    <hyperlink r:id="rId393" ref="C365"/>
    <hyperlink r:id="rId394" ref="C366"/>
    <hyperlink r:id="rId395" ref="C367"/>
    <hyperlink r:id="rId396" ref="C368"/>
    <hyperlink r:id="rId397" ref="C369"/>
    <hyperlink r:id="rId398" ref="C370"/>
    <hyperlink r:id="rId399" ref="C371"/>
    <hyperlink r:id="rId400" ref="C372"/>
    <hyperlink r:id="rId401" ref="C373"/>
    <hyperlink r:id="rId402" ref="C374"/>
    <hyperlink r:id="rId403" ref="C375"/>
    <hyperlink r:id="rId404" ref="C376"/>
    <hyperlink r:id="rId405" ref="C377"/>
    <hyperlink r:id="rId406" ref="C378"/>
    <hyperlink r:id="rId407" ref="C379"/>
    <hyperlink r:id="rId408" ref="C380"/>
    <hyperlink r:id="rId409" ref="C381"/>
    <hyperlink r:id="rId410" ref="C382"/>
    <hyperlink r:id="rId411" ref="C383"/>
    <hyperlink r:id="rId412" ref="C384"/>
    <hyperlink r:id="rId413" ref="C385"/>
    <hyperlink r:id="rId414" ref="C386"/>
    <hyperlink r:id="rId415" ref="C387"/>
    <hyperlink r:id="rId416" ref="C388"/>
    <hyperlink r:id="rId417" ref="C389"/>
    <hyperlink r:id="rId418" ref="C390"/>
    <hyperlink r:id="rId419" ref="C391"/>
    <hyperlink r:id="rId420" ref="C392"/>
    <hyperlink r:id="rId421" ref="C393"/>
    <hyperlink r:id="rId422" ref="C394"/>
    <hyperlink r:id="rId423" ref="C396"/>
    <hyperlink r:id="rId424" ref="G396"/>
    <hyperlink r:id="rId425" ref="C397"/>
    <hyperlink r:id="rId426" ref="G397"/>
    <hyperlink r:id="rId427" ref="C398"/>
    <hyperlink r:id="rId428" ref="G398"/>
    <hyperlink r:id="rId429" ref="C399"/>
    <hyperlink r:id="rId430" ref="G399"/>
    <hyperlink r:id="rId431" ref="C400"/>
    <hyperlink r:id="rId432" ref="C401"/>
    <hyperlink r:id="rId433" ref="C402"/>
    <hyperlink r:id="rId434" ref="C403"/>
    <hyperlink r:id="rId435" ref="C404"/>
    <hyperlink r:id="rId436" ref="C405"/>
    <hyperlink r:id="rId437" ref="C406"/>
    <hyperlink r:id="rId438" ref="C407"/>
    <hyperlink r:id="rId439" ref="C408"/>
    <hyperlink r:id="rId440" ref="C409"/>
    <hyperlink r:id="rId441" ref="C410"/>
    <hyperlink r:id="rId442" ref="C411"/>
    <hyperlink r:id="rId443" ref="C412"/>
    <hyperlink r:id="rId444" ref="C413"/>
    <hyperlink r:id="rId445" ref="C414"/>
    <hyperlink r:id="rId446" ref="C415"/>
    <hyperlink r:id="rId447" ref="C416"/>
    <hyperlink r:id="rId448" ref="C417"/>
    <hyperlink r:id="rId449" ref="C418"/>
    <hyperlink r:id="rId450" ref="C419"/>
    <hyperlink r:id="rId451" ref="C420"/>
    <hyperlink r:id="rId452" ref="C421"/>
    <hyperlink r:id="rId453" ref="C422"/>
    <hyperlink r:id="rId454" ref="C423"/>
    <hyperlink r:id="rId455" ref="C424"/>
    <hyperlink r:id="rId456" ref="C425"/>
    <hyperlink r:id="rId457" ref="C426"/>
    <hyperlink r:id="rId458" ref="C427"/>
    <hyperlink r:id="rId459" ref="C428"/>
    <hyperlink r:id="rId460" ref="C429"/>
    <hyperlink r:id="rId461" ref="C430"/>
    <hyperlink r:id="rId462" ref="C431"/>
    <hyperlink r:id="rId463" ref="C432"/>
    <hyperlink r:id="rId464" ref="C434"/>
    <hyperlink r:id="rId465" ref="G434"/>
    <hyperlink r:id="rId466" ref="C435"/>
    <hyperlink r:id="rId467" ref="G435"/>
    <hyperlink r:id="rId468" ref="C436"/>
    <hyperlink r:id="rId469" ref="G436"/>
    <hyperlink r:id="rId470" ref="C437"/>
    <hyperlink r:id="rId471" ref="G437"/>
    <hyperlink r:id="rId472" ref="C438"/>
    <hyperlink r:id="rId473" ref="G438"/>
    <hyperlink r:id="rId474" ref="C439"/>
    <hyperlink r:id="rId475" ref="G439"/>
    <hyperlink r:id="rId476" ref="C440"/>
    <hyperlink r:id="rId477" ref="G440"/>
    <hyperlink r:id="rId478" ref="C441"/>
    <hyperlink r:id="rId479" ref="G441"/>
    <hyperlink r:id="rId480" ref="C442"/>
    <hyperlink r:id="rId481" ref="G442"/>
    <hyperlink r:id="rId482" ref="C443"/>
    <hyperlink r:id="rId483" ref="G443"/>
    <hyperlink r:id="rId484" ref="C444"/>
    <hyperlink r:id="rId485" ref="G444"/>
    <hyperlink r:id="rId486" ref="C445"/>
    <hyperlink r:id="rId487" ref="G445"/>
    <hyperlink r:id="rId488" ref="C446"/>
    <hyperlink r:id="rId489" ref="G446"/>
    <hyperlink r:id="rId490" ref="C447"/>
    <hyperlink r:id="rId491" ref="G447"/>
    <hyperlink r:id="rId492" ref="C448"/>
    <hyperlink r:id="rId493" ref="G448"/>
    <hyperlink r:id="rId494" ref="C449"/>
    <hyperlink r:id="rId495" ref="C450"/>
    <hyperlink r:id="rId496" ref="C451"/>
    <hyperlink r:id="rId497" ref="C452"/>
    <hyperlink r:id="rId498" ref="C453"/>
    <hyperlink r:id="rId499" ref="C454"/>
    <hyperlink r:id="rId500" ref="C455"/>
    <hyperlink r:id="rId501" ref="C456"/>
    <hyperlink r:id="rId502" ref="C457"/>
    <hyperlink r:id="rId503" ref="C458"/>
    <hyperlink r:id="rId504" ref="C459"/>
    <hyperlink r:id="rId505" ref="C460"/>
    <hyperlink r:id="rId506" ref="C461"/>
    <hyperlink r:id="rId507" ref="C462"/>
    <hyperlink r:id="rId508" ref="C463"/>
    <hyperlink r:id="rId509" ref="C464"/>
    <hyperlink r:id="rId510" ref="C465"/>
    <hyperlink r:id="rId511" ref="C466"/>
    <hyperlink r:id="rId512" ref="C467"/>
    <hyperlink r:id="rId513" ref="C468"/>
    <hyperlink r:id="rId514" ref="C469"/>
    <hyperlink r:id="rId515" ref="C470"/>
    <hyperlink r:id="rId516" ref="C471"/>
    <hyperlink r:id="rId517" ref="C472"/>
    <hyperlink r:id="rId518" ref="C473"/>
    <hyperlink r:id="rId519" ref="C474"/>
    <hyperlink r:id="rId520" ref="C475"/>
    <hyperlink r:id="rId521" ref="C476"/>
    <hyperlink r:id="rId522" ref="C477"/>
    <hyperlink r:id="rId523" ref="C478"/>
    <hyperlink r:id="rId524" ref="C479"/>
    <hyperlink r:id="rId525" ref="C480"/>
    <hyperlink r:id="rId526" ref="C481"/>
    <hyperlink r:id="rId527" ref="C482"/>
    <hyperlink r:id="rId528" ref="C483"/>
    <hyperlink r:id="rId529" ref="C484"/>
    <hyperlink r:id="rId530" ref="C485"/>
    <hyperlink r:id="rId531" ref="C486"/>
    <hyperlink r:id="rId532" ref="C487"/>
    <hyperlink r:id="rId533" ref="C488"/>
    <hyperlink r:id="rId534" ref="C489"/>
    <hyperlink r:id="rId535" ref="C490"/>
    <hyperlink r:id="rId536" ref="C491"/>
    <hyperlink r:id="rId537" ref="C492"/>
    <hyperlink r:id="rId538" ref="C493"/>
    <hyperlink r:id="rId539" ref="C494"/>
    <hyperlink r:id="rId540" ref="C495"/>
    <hyperlink r:id="rId541" ref="C496"/>
    <hyperlink r:id="rId542" ref="C497"/>
    <hyperlink r:id="rId543" ref="C498"/>
    <hyperlink r:id="rId544" ref="C499"/>
    <hyperlink r:id="rId545" ref="C500"/>
    <hyperlink r:id="rId546" ref="C501"/>
    <hyperlink r:id="rId547" ref="C502"/>
    <hyperlink r:id="rId548" ref="C503"/>
    <hyperlink r:id="rId549" ref="C504"/>
    <hyperlink r:id="rId550" ref="C505"/>
    <hyperlink r:id="rId551" ref="C506"/>
    <hyperlink r:id="rId552" ref="C507"/>
    <hyperlink r:id="rId553" ref="C508"/>
    <hyperlink r:id="rId554" ref="C509"/>
    <hyperlink r:id="rId555" ref="C510"/>
    <hyperlink r:id="rId556" ref="C511"/>
    <hyperlink r:id="rId557" ref="C512"/>
    <hyperlink r:id="rId558" ref="C513"/>
    <hyperlink r:id="rId559" ref="C514"/>
    <hyperlink r:id="rId560" ref="C515"/>
    <hyperlink r:id="rId561" ref="C516"/>
    <hyperlink r:id="rId562" ref="C517"/>
    <hyperlink r:id="rId563" ref="C518"/>
    <hyperlink r:id="rId564" ref="C519"/>
    <hyperlink r:id="rId565" ref="C520"/>
    <hyperlink r:id="rId566" ref="C521"/>
    <hyperlink r:id="rId567" ref="C522"/>
    <hyperlink r:id="rId568" ref="C523"/>
    <hyperlink r:id="rId569" ref="C524"/>
    <hyperlink r:id="rId570" ref="C525"/>
    <hyperlink r:id="rId571" ref="C526"/>
    <hyperlink r:id="rId572" ref="C527"/>
    <hyperlink r:id="rId573" ref="C528"/>
    <hyperlink r:id="rId574" ref="C529"/>
    <hyperlink r:id="rId575" ref="C530"/>
    <hyperlink r:id="rId576" ref="C531"/>
    <hyperlink r:id="rId577" ref="C532"/>
    <hyperlink r:id="rId578" ref="C533"/>
    <hyperlink r:id="rId579" ref="C534"/>
    <hyperlink r:id="rId580" ref="C535"/>
    <hyperlink r:id="rId581" ref="C536"/>
    <hyperlink r:id="rId582" ref="C537"/>
    <hyperlink r:id="rId583" ref="C538"/>
    <hyperlink r:id="rId584" ref="C539"/>
    <hyperlink r:id="rId585" ref="C540"/>
    <hyperlink r:id="rId586" ref="C541"/>
    <hyperlink r:id="rId587" ref="C542"/>
    <hyperlink r:id="rId588" ref="C543"/>
    <hyperlink r:id="rId589" ref="C544"/>
    <hyperlink r:id="rId590" ref="C545"/>
    <hyperlink r:id="rId591" ref="C546"/>
    <hyperlink r:id="rId592" ref="C547"/>
    <hyperlink r:id="rId593" ref="C548"/>
    <hyperlink r:id="rId594" ref="C549"/>
    <hyperlink r:id="rId595" ref="C550"/>
    <hyperlink r:id="rId596" ref="C551"/>
    <hyperlink r:id="rId597" ref="C552"/>
    <hyperlink r:id="rId598" ref="C553"/>
    <hyperlink r:id="rId599" ref="C554"/>
    <hyperlink r:id="rId600" ref="C555"/>
    <hyperlink r:id="rId601" ref="C556"/>
    <hyperlink r:id="rId602" ref="C557"/>
    <hyperlink r:id="rId603" ref="C558"/>
    <hyperlink r:id="rId604" ref="C559"/>
    <hyperlink r:id="rId605" ref="C560"/>
    <hyperlink r:id="rId606" ref="C561"/>
    <hyperlink r:id="rId607" ref="C562"/>
    <hyperlink r:id="rId608" ref="C563"/>
    <hyperlink r:id="rId609" ref="C564"/>
    <hyperlink r:id="rId610" ref="C565"/>
    <hyperlink r:id="rId611" ref="C566"/>
    <hyperlink r:id="rId612" ref="C567"/>
    <hyperlink r:id="rId613" ref="C568"/>
    <hyperlink r:id="rId614" ref="C569"/>
    <hyperlink r:id="rId615" ref="C570"/>
    <hyperlink r:id="rId616" ref="C571"/>
    <hyperlink r:id="rId617" ref="C572"/>
    <hyperlink r:id="rId618" ref="C573"/>
    <hyperlink r:id="rId619" ref="C574"/>
    <hyperlink r:id="rId620" ref="C575"/>
    <hyperlink r:id="rId621" ref="C576"/>
    <hyperlink r:id="rId622" ref="C577"/>
    <hyperlink r:id="rId623" ref="C579"/>
    <hyperlink r:id="rId624" ref="G579"/>
    <hyperlink r:id="rId625" ref="C580"/>
    <hyperlink r:id="rId626" ref="G580"/>
    <hyperlink r:id="rId627" ref="C581"/>
    <hyperlink r:id="rId628" ref="G581"/>
    <hyperlink r:id="rId629" ref="C582"/>
    <hyperlink r:id="rId630" ref="G582"/>
    <hyperlink r:id="rId631" ref="C583"/>
    <hyperlink r:id="rId632" ref="G583"/>
    <hyperlink r:id="rId633" ref="C584"/>
    <hyperlink r:id="rId634" ref="G584"/>
    <hyperlink r:id="rId635" ref="C585"/>
    <hyperlink r:id="rId636" ref="C586"/>
    <hyperlink r:id="rId637" ref="C587"/>
    <hyperlink r:id="rId638" ref="C588"/>
    <hyperlink r:id="rId639" ref="C589"/>
    <hyperlink r:id="rId640" ref="C590"/>
    <hyperlink r:id="rId641" ref="C591"/>
    <hyperlink r:id="rId642" ref="C592"/>
    <hyperlink r:id="rId643" ref="C593"/>
    <hyperlink r:id="rId644" ref="C594"/>
    <hyperlink r:id="rId645" ref="C595"/>
    <hyperlink r:id="rId646" ref="C596"/>
    <hyperlink r:id="rId647" ref="C597"/>
    <hyperlink r:id="rId648" ref="C598"/>
    <hyperlink r:id="rId649" ref="C599"/>
    <hyperlink r:id="rId650" ref="C600"/>
    <hyperlink r:id="rId651" ref="C601"/>
    <hyperlink r:id="rId652" ref="C602"/>
    <hyperlink r:id="rId653" ref="C603"/>
    <hyperlink r:id="rId654" ref="C604"/>
    <hyperlink r:id="rId655" ref="C605"/>
    <hyperlink r:id="rId656" ref="C606"/>
    <hyperlink r:id="rId657" ref="C607"/>
    <hyperlink r:id="rId658" ref="C608"/>
    <hyperlink r:id="rId659" ref="C609"/>
    <hyperlink r:id="rId660" ref="C610"/>
    <hyperlink r:id="rId661" ref="C611"/>
    <hyperlink r:id="rId662" ref="C612"/>
    <hyperlink r:id="rId663" ref="C613"/>
    <hyperlink r:id="rId664" ref="C614"/>
    <hyperlink r:id="rId665" ref="C615"/>
    <hyperlink r:id="rId666" ref="C616"/>
    <hyperlink r:id="rId667" ref="C617"/>
    <hyperlink r:id="rId668" ref="C618"/>
    <hyperlink r:id="rId669" ref="C619"/>
    <hyperlink r:id="rId670" ref="C620"/>
    <hyperlink r:id="rId671" ref="C621"/>
    <hyperlink r:id="rId672" ref="C622"/>
    <hyperlink r:id="rId673" ref="C623"/>
    <hyperlink r:id="rId674" ref="C624"/>
    <hyperlink r:id="rId675" ref="C625"/>
    <hyperlink r:id="rId676" ref="C626"/>
    <hyperlink r:id="rId677" ref="C627"/>
    <hyperlink r:id="rId678" ref="C628"/>
    <hyperlink r:id="rId679" ref="C629"/>
    <hyperlink r:id="rId680" ref="C630"/>
    <hyperlink r:id="rId681" ref="C631"/>
    <hyperlink r:id="rId682" ref="C632"/>
    <hyperlink r:id="rId683" ref="C633"/>
    <hyperlink r:id="rId684" ref="C635"/>
    <hyperlink r:id="rId685" ref="G635"/>
    <hyperlink r:id="rId686" ref="C636"/>
    <hyperlink r:id="rId687" ref="G636"/>
    <hyperlink r:id="rId688" ref="C637"/>
    <hyperlink r:id="rId689" ref="G637"/>
    <hyperlink r:id="rId690" ref="C638"/>
    <hyperlink r:id="rId691" ref="G638"/>
    <hyperlink r:id="rId692" ref="C639"/>
    <hyperlink r:id="rId693" ref="C640"/>
    <hyperlink r:id="rId694" ref="C641"/>
    <hyperlink r:id="rId695" ref="C642"/>
    <hyperlink r:id="rId696" ref="C643"/>
    <hyperlink r:id="rId697" ref="C644"/>
    <hyperlink r:id="rId698" ref="C645"/>
    <hyperlink r:id="rId699" ref="C646"/>
    <hyperlink r:id="rId700" ref="C647"/>
    <hyperlink r:id="rId701" ref="C648"/>
    <hyperlink r:id="rId702" ref="C649"/>
    <hyperlink r:id="rId703" ref="C650"/>
    <hyperlink r:id="rId704" ref="C651"/>
    <hyperlink r:id="rId705" ref="C652"/>
    <hyperlink r:id="rId706" ref="C653"/>
    <hyperlink r:id="rId707" ref="C654"/>
    <hyperlink r:id="rId708" ref="C655"/>
    <hyperlink r:id="rId709" ref="C656"/>
    <hyperlink r:id="rId710" ref="C657"/>
    <hyperlink r:id="rId711" ref="C658"/>
    <hyperlink r:id="rId712" ref="C659"/>
    <hyperlink r:id="rId713" ref="C660"/>
    <hyperlink r:id="rId714" ref="C661"/>
    <hyperlink r:id="rId715" ref="C662"/>
    <hyperlink r:id="rId716" ref="C663"/>
    <hyperlink r:id="rId717" ref="C664"/>
    <hyperlink r:id="rId718" ref="C665"/>
    <hyperlink r:id="rId719" ref="C666"/>
    <hyperlink r:id="rId720" ref="C667"/>
    <hyperlink r:id="rId721" ref="C668"/>
    <hyperlink r:id="rId722" ref="C669"/>
    <hyperlink r:id="rId723" ref="C670"/>
    <hyperlink r:id="rId724" ref="C671"/>
    <hyperlink r:id="rId725" ref="C672"/>
    <hyperlink r:id="rId726" ref="C673"/>
    <hyperlink r:id="rId727" ref="C674"/>
    <hyperlink r:id="rId728" ref="C675"/>
    <hyperlink r:id="rId729" ref="C676"/>
    <hyperlink r:id="rId730" ref="C677"/>
    <hyperlink r:id="rId731" ref="C678"/>
    <hyperlink r:id="rId732" ref="C679"/>
    <hyperlink r:id="rId733" ref="C680"/>
    <hyperlink r:id="rId734" ref="C681"/>
    <hyperlink r:id="rId735" ref="C682"/>
    <hyperlink r:id="rId736" ref="C683"/>
    <hyperlink r:id="rId737" ref="C684"/>
    <hyperlink r:id="rId738" ref="C685"/>
    <hyperlink r:id="rId739" ref="C686"/>
    <hyperlink r:id="rId740" ref="C688"/>
    <hyperlink r:id="rId741" ref="G688"/>
    <hyperlink r:id="rId742" ref="C689"/>
    <hyperlink r:id="rId743" ref="G689"/>
    <hyperlink r:id="rId744" ref="C690"/>
    <hyperlink r:id="rId745" ref="G690"/>
    <hyperlink r:id="rId746" ref="C691"/>
    <hyperlink r:id="rId747" ref="G691"/>
    <hyperlink r:id="rId748" ref="C692"/>
    <hyperlink r:id="rId749" ref="C693"/>
    <hyperlink r:id="rId750" ref="C694"/>
    <hyperlink r:id="rId751" ref="C695"/>
    <hyperlink r:id="rId752" ref="C696"/>
    <hyperlink r:id="rId753" ref="C697"/>
    <hyperlink r:id="rId754" ref="C698"/>
    <hyperlink r:id="rId755" ref="C699"/>
    <hyperlink r:id="rId756" ref="C700"/>
    <hyperlink r:id="rId757" ref="C701"/>
    <hyperlink r:id="rId758" ref="C702"/>
    <hyperlink r:id="rId759" ref="C703"/>
    <hyperlink r:id="rId760" ref="C704"/>
    <hyperlink r:id="rId761" ref="C705"/>
    <hyperlink r:id="rId762" ref="C706"/>
    <hyperlink r:id="rId763" ref="C707"/>
    <hyperlink r:id="rId764" ref="C708"/>
    <hyperlink r:id="rId765" ref="C709"/>
    <hyperlink r:id="rId766" ref="C710"/>
    <hyperlink r:id="rId767" ref="C711"/>
    <hyperlink r:id="rId768" ref="C712"/>
    <hyperlink r:id="rId769" ref="C713"/>
    <hyperlink r:id="rId770" ref="C714"/>
    <hyperlink r:id="rId771" ref="C715"/>
    <hyperlink r:id="rId772" ref="C716"/>
    <hyperlink r:id="rId773" ref="C717"/>
    <hyperlink r:id="rId774" ref="C718"/>
    <hyperlink r:id="rId775" ref="C719"/>
    <hyperlink r:id="rId776" ref="C720"/>
    <hyperlink r:id="rId777" ref="C721"/>
    <hyperlink r:id="rId778" ref="C722"/>
    <hyperlink r:id="rId779" ref="C723"/>
    <hyperlink r:id="rId780" ref="C724"/>
    <hyperlink r:id="rId781" ref="C725"/>
    <hyperlink r:id="rId782" ref="C726"/>
    <hyperlink r:id="rId783" ref="C727"/>
    <hyperlink r:id="rId784" ref="C728"/>
    <hyperlink r:id="rId785" ref="C729"/>
    <hyperlink r:id="rId786" ref="C730"/>
    <hyperlink r:id="rId787" ref="C731"/>
    <hyperlink r:id="rId788" ref="C732"/>
    <hyperlink r:id="rId789" ref="C733"/>
    <hyperlink r:id="rId790" ref="C734"/>
    <hyperlink r:id="rId791" ref="C735"/>
    <hyperlink r:id="rId792" ref="C736"/>
    <hyperlink r:id="rId793" ref="C737"/>
    <hyperlink r:id="rId794" ref="C738"/>
    <hyperlink r:id="rId795" ref="C739"/>
    <hyperlink r:id="rId796" ref="C740"/>
    <hyperlink r:id="rId797" ref="C741"/>
    <hyperlink r:id="rId798" ref="C742"/>
    <hyperlink r:id="rId799" ref="C743"/>
    <hyperlink r:id="rId800" ref="C744"/>
    <hyperlink r:id="rId801" ref="C746"/>
    <hyperlink r:id="rId802" ref="G746"/>
    <hyperlink r:id="rId803" ref="C747"/>
    <hyperlink r:id="rId804" ref="G747"/>
    <hyperlink r:id="rId805" ref="C748"/>
    <hyperlink r:id="rId806" ref="G748"/>
    <hyperlink r:id="rId807" ref="C749"/>
    <hyperlink r:id="rId808" ref="G749"/>
    <hyperlink r:id="rId809" ref="C750"/>
    <hyperlink r:id="rId810" ref="G750"/>
    <hyperlink r:id="rId811" ref="C751"/>
    <hyperlink r:id="rId812" ref="G751"/>
    <hyperlink r:id="rId813" ref="C752"/>
    <hyperlink r:id="rId814" ref="G752"/>
    <hyperlink r:id="rId815" ref="C753"/>
    <hyperlink r:id="rId816" ref="G753"/>
    <hyperlink r:id="rId817" ref="C754"/>
    <hyperlink r:id="rId818" ref="G754"/>
    <hyperlink r:id="rId819" ref="C755"/>
    <hyperlink r:id="rId820" ref="G755"/>
    <hyperlink r:id="rId821" ref="C756"/>
    <hyperlink r:id="rId822" ref="G756"/>
    <hyperlink r:id="rId823" ref="C757"/>
    <hyperlink r:id="rId824" ref="G757"/>
    <hyperlink r:id="rId825" ref="C758"/>
    <hyperlink r:id="rId826" ref="G758"/>
    <hyperlink r:id="rId827" ref="C759"/>
    <hyperlink r:id="rId828" ref="G759"/>
    <hyperlink r:id="rId829" ref="C760"/>
    <hyperlink r:id="rId830" ref="G760"/>
    <hyperlink r:id="rId831" ref="C761"/>
    <hyperlink r:id="rId832" ref="G761"/>
    <hyperlink r:id="rId833" ref="C762"/>
    <hyperlink r:id="rId834" ref="C763"/>
    <hyperlink r:id="rId835" ref="C764"/>
    <hyperlink r:id="rId836" ref="C765"/>
    <hyperlink r:id="rId837" ref="C766"/>
    <hyperlink r:id="rId838" ref="C767"/>
    <hyperlink r:id="rId839" ref="C768"/>
    <hyperlink r:id="rId840" ref="C769"/>
    <hyperlink r:id="rId841" ref="C770"/>
    <hyperlink r:id="rId842" ref="C771"/>
    <hyperlink r:id="rId843" ref="C772"/>
    <hyperlink r:id="rId844" ref="C773"/>
    <hyperlink r:id="rId845" ref="C774"/>
    <hyperlink r:id="rId846" ref="C775"/>
    <hyperlink r:id="rId847" ref="C776"/>
    <hyperlink r:id="rId848" ref="C777"/>
    <hyperlink r:id="rId849" ref="C778"/>
    <hyperlink r:id="rId850" ref="C779"/>
    <hyperlink r:id="rId851" ref="C780"/>
    <hyperlink r:id="rId852" ref="C781"/>
    <hyperlink r:id="rId853" ref="C782"/>
    <hyperlink r:id="rId854" ref="C783"/>
    <hyperlink r:id="rId855" ref="C784"/>
    <hyperlink r:id="rId856" ref="C785"/>
    <hyperlink r:id="rId857" ref="C786"/>
    <hyperlink r:id="rId858" ref="C787"/>
    <hyperlink r:id="rId859" ref="C788"/>
    <hyperlink r:id="rId860" ref="C789"/>
    <hyperlink r:id="rId861" ref="C790"/>
    <hyperlink r:id="rId862" ref="C791"/>
    <hyperlink r:id="rId863" ref="C792"/>
    <hyperlink r:id="rId864" ref="C793"/>
    <hyperlink r:id="rId865" ref="C794"/>
    <hyperlink r:id="rId866" ref="C795"/>
    <hyperlink r:id="rId867" ref="C796"/>
    <hyperlink r:id="rId868" ref="C797"/>
    <hyperlink r:id="rId869" ref="C798"/>
    <hyperlink r:id="rId870" ref="C799"/>
    <hyperlink r:id="rId871" ref="C800"/>
    <hyperlink r:id="rId872" ref="C801"/>
    <hyperlink r:id="rId873" ref="C802"/>
    <hyperlink r:id="rId874" ref="C803"/>
    <hyperlink r:id="rId875" ref="C804"/>
    <hyperlink r:id="rId876" ref="C805"/>
    <hyperlink r:id="rId877" ref="C806"/>
    <hyperlink r:id="rId878" ref="C807"/>
    <hyperlink r:id="rId879" ref="C808"/>
    <hyperlink r:id="rId880" ref="C809"/>
    <hyperlink r:id="rId881" ref="C810"/>
    <hyperlink r:id="rId882" ref="C811"/>
    <hyperlink r:id="rId883" ref="C812"/>
    <hyperlink r:id="rId884" ref="C813"/>
    <hyperlink r:id="rId885" ref="C814"/>
    <hyperlink r:id="rId886" ref="C815"/>
    <hyperlink r:id="rId887" ref="C816"/>
    <hyperlink r:id="rId888" ref="C817"/>
    <hyperlink r:id="rId889" ref="C818"/>
    <hyperlink r:id="rId890" ref="C819"/>
    <hyperlink r:id="rId891" ref="C820"/>
    <hyperlink r:id="rId892" ref="C821"/>
    <hyperlink r:id="rId893" ref="C822"/>
    <hyperlink r:id="rId894" ref="C823"/>
    <hyperlink r:id="rId895" ref="C824"/>
    <hyperlink r:id="rId896" ref="C825"/>
    <hyperlink r:id="rId897" ref="C826"/>
    <hyperlink r:id="rId898" ref="C827"/>
    <hyperlink r:id="rId899" ref="C828"/>
    <hyperlink r:id="rId900" ref="C829"/>
    <hyperlink r:id="rId901" ref="C830"/>
    <hyperlink r:id="rId902" ref="C831"/>
    <hyperlink r:id="rId903" ref="C832"/>
    <hyperlink r:id="rId904" ref="C834"/>
    <hyperlink r:id="rId905" ref="G834"/>
    <hyperlink r:id="rId906" ref="C835"/>
    <hyperlink r:id="rId907" ref="G835"/>
    <hyperlink r:id="rId908" ref="C836"/>
    <hyperlink r:id="rId909" ref="G836"/>
    <hyperlink r:id="rId910" ref="C837"/>
    <hyperlink r:id="rId911" ref="G837"/>
    <hyperlink r:id="rId912" ref="C838"/>
    <hyperlink r:id="rId913" ref="G838"/>
    <hyperlink r:id="rId914" ref="C839"/>
    <hyperlink r:id="rId915" ref="G839"/>
    <hyperlink r:id="rId916" ref="C840"/>
    <hyperlink r:id="rId917" ref="G840"/>
    <hyperlink r:id="rId918" ref="C841"/>
    <hyperlink r:id="rId919" ref="G841"/>
    <hyperlink r:id="rId920" ref="C842"/>
    <hyperlink r:id="rId921" ref="G842"/>
    <hyperlink r:id="rId922" ref="C843"/>
    <hyperlink r:id="rId923" ref="G843"/>
    <hyperlink r:id="rId924" ref="C844"/>
    <hyperlink r:id="rId925" ref="G844"/>
    <hyperlink r:id="rId926" ref="C845"/>
    <hyperlink r:id="rId927" ref="G845"/>
    <hyperlink r:id="rId928" ref="C846"/>
    <hyperlink r:id="rId929" ref="G846"/>
    <hyperlink r:id="rId930" ref="C847"/>
    <hyperlink r:id="rId931" ref="C848"/>
    <hyperlink r:id="rId932" ref="C849"/>
    <hyperlink r:id="rId933" ref="C850"/>
    <hyperlink r:id="rId934" ref="C851"/>
    <hyperlink r:id="rId935" ref="C852"/>
    <hyperlink r:id="rId936" ref="C853"/>
    <hyperlink r:id="rId937" ref="C854"/>
    <hyperlink r:id="rId938" ref="C855"/>
    <hyperlink r:id="rId939" ref="C856"/>
    <hyperlink r:id="rId940" ref="C857"/>
    <hyperlink r:id="rId941" ref="C858"/>
    <hyperlink r:id="rId942" ref="C859"/>
    <hyperlink r:id="rId943" ref="C860"/>
    <hyperlink r:id="rId944" ref="C861"/>
    <hyperlink r:id="rId945" ref="C862"/>
    <hyperlink r:id="rId946" ref="C863"/>
    <hyperlink r:id="rId947" ref="C864"/>
    <hyperlink r:id="rId948" ref="C865"/>
    <hyperlink r:id="rId949" ref="C866"/>
    <hyperlink r:id="rId950" ref="C867"/>
    <hyperlink r:id="rId951" ref="C868"/>
    <hyperlink r:id="rId952" ref="C869"/>
    <hyperlink r:id="rId953" ref="C870"/>
    <hyperlink r:id="rId954" ref="C871"/>
    <hyperlink r:id="rId955" ref="C872"/>
    <hyperlink r:id="rId956" ref="C873"/>
    <hyperlink r:id="rId957" ref="C874"/>
    <hyperlink r:id="rId958" ref="C875"/>
    <hyperlink r:id="rId959" ref="C876"/>
    <hyperlink r:id="rId960" ref="C877"/>
    <hyperlink r:id="rId961" ref="C878"/>
    <hyperlink r:id="rId962" ref="C879"/>
    <hyperlink r:id="rId963" ref="C880"/>
    <hyperlink r:id="rId964" ref="C881"/>
    <hyperlink r:id="rId965" ref="C882"/>
    <hyperlink r:id="rId966" ref="C883"/>
    <hyperlink r:id="rId967" ref="C885"/>
    <hyperlink r:id="rId968" ref="G885"/>
    <hyperlink r:id="rId969" ref="C886"/>
    <hyperlink r:id="rId970" ref="G886"/>
    <hyperlink r:id="rId971" ref="C887"/>
    <hyperlink r:id="rId972" ref="G887"/>
    <hyperlink r:id="rId973" ref="C888"/>
    <hyperlink r:id="rId974" ref="G888"/>
    <hyperlink r:id="rId975" ref="C889"/>
    <hyperlink r:id="rId976" ref="G889"/>
    <hyperlink r:id="rId977" ref="C890"/>
    <hyperlink r:id="rId978" ref="G890"/>
    <hyperlink r:id="rId979" ref="C891"/>
    <hyperlink r:id="rId980" ref="G891"/>
    <hyperlink r:id="rId981" ref="C892"/>
    <hyperlink r:id="rId982" ref="G892"/>
    <hyperlink r:id="rId983" ref="C893"/>
    <hyperlink r:id="rId984" ref="G893"/>
    <hyperlink r:id="rId985" ref="C894"/>
    <hyperlink r:id="rId986" ref="C895"/>
    <hyperlink r:id="rId987" ref="C896"/>
    <hyperlink r:id="rId988" ref="C897"/>
    <hyperlink r:id="rId989" ref="C898"/>
    <hyperlink r:id="rId990" ref="C899"/>
    <hyperlink r:id="rId991" ref="C900"/>
    <hyperlink r:id="rId992" ref="C901"/>
    <hyperlink r:id="rId993" ref="C902"/>
    <hyperlink r:id="rId994" ref="C903"/>
    <hyperlink r:id="rId995" ref="C904"/>
    <hyperlink r:id="rId996" ref="C905"/>
    <hyperlink r:id="rId997" ref="C906"/>
    <hyperlink r:id="rId998" ref="C907"/>
    <hyperlink r:id="rId999" ref="C908"/>
    <hyperlink r:id="rId1000" ref="C909"/>
    <hyperlink r:id="rId1001" ref="C910"/>
    <hyperlink r:id="rId1002" ref="C911"/>
    <hyperlink r:id="rId1003" ref="C912"/>
    <hyperlink r:id="rId1004" ref="C913"/>
    <hyperlink r:id="rId1005" ref="C914"/>
    <hyperlink r:id="rId1006" ref="C915"/>
    <hyperlink r:id="rId1007" ref="C916"/>
    <hyperlink r:id="rId1008" ref="C917"/>
    <hyperlink r:id="rId1009" ref="C918"/>
    <hyperlink r:id="rId1010" ref="C919"/>
    <hyperlink r:id="rId1011" ref="C920"/>
    <hyperlink r:id="rId1012" ref="C921"/>
    <hyperlink r:id="rId1013" ref="C922"/>
    <hyperlink r:id="rId1014" ref="C923"/>
    <hyperlink r:id="rId1015" ref="C924"/>
    <hyperlink r:id="rId1016" ref="C925"/>
    <hyperlink r:id="rId1017" ref="C926"/>
    <hyperlink r:id="rId1018" ref="C927"/>
    <hyperlink r:id="rId1019" ref="C928"/>
    <hyperlink r:id="rId1020" ref="C929"/>
    <hyperlink r:id="rId1021" ref="C930"/>
    <hyperlink r:id="rId1022" ref="C931"/>
    <hyperlink r:id="rId1023" ref="C932"/>
    <hyperlink r:id="rId1024" ref="C933"/>
    <hyperlink r:id="rId1025" ref="C934"/>
    <hyperlink r:id="rId1026" ref="C935"/>
    <hyperlink r:id="rId1027" ref="C936"/>
    <hyperlink r:id="rId1028" ref="C937"/>
    <hyperlink r:id="rId1029" ref="C938"/>
    <hyperlink r:id="rId1030" ref="C939"/>
    <hyperlink r:id="rId1031" ref="C940"/>
    <hyperlink r:id="rId1032" ref="C941"/>
    <hyperlink r:id="rId1033" ref="C942"/>
    <hyperlink r:id="rId1034" ref="C943"/>
    <hyperlink r:id="rId1035" ref="C944"/>
    <hyperlink r:id="rId1036" ref="C945"/>
    <hyperlink r:id="rId1037" ref="C946"/>
    <hyperlink r:id="rId1038" ref="C947"/>
    <hyperlink r:id="rId1039" ref="C948"/>
    <hyperlink r:id="rId1040" ref="C949"/>
    <hyperlink r:id="rId1041" ref="C950"/>
    <hyperlink r:id="rId1042" ref="C951"/>
    <hyperlink r:id="rId1043" ref="C952"/>
    <hyperlink r:id="rId1044" ref="C953"/>
    <hyperlink r:id="rId1045" ref="C954"/>
    <hyperlink r:id="rId1046" ref="C955"/>
    <hyperlink r:id="rId1047" ref="C956"/>
    <hyperlink r:id="rId1048" ref="C957"/>
    <hyperlink r:id="rId1049" ref="C958"/>
    <hyperlink r:id="rId1050" ref="C959"/>
    <hyperlink r:id="rId1051" ref="C960"/>
    <hyperlink r:id="rId1052" ref="C961"/>
    <hyperlink r:id="rId1053" ref="C962"/>
    <hyperlink r:id="rId1054" ref="C963"/>
    <hyperlink r:id="rId1055" ref="C964"/>
    <hyperlink r:id="rId1056" ref="C965"/>
    <hyperlink r:id="rId1057" ref="C966"/>
    <hyperlink r:id="rId1058" ref="C967"/>
    <hyperlink r:id="rId1059" ref="C968"/>
    <hyperlink r:id="rId1060" ref="C969"/>
    <hyperlink r:id="rId1061" ref="C970"/>
    <hyperlink r:id="rId1062" ref="C971"/>
    <hyperlink r:id="rId1063" ref="C972"/>
    <hyperlink r:id="rId1064" ref="C973"/>
    <hyperlink r:id="rId1065" ref="C974"/>
    <hyperlink r:id="rId1066" ref="C975"/>
    <hyperlink r:id="rId1067" ref="C976"/>
    <hyperlink r:id="rId1068" ref="C977"/>
    <hyperlink r:id="rId1069" ref="C978"/>
    <hyperlink r:id="rId1070" ref="C979"/>
    <hyperlink r:id="rId1071" ref="C980"/>
    <hyperlink r:id="rId1072" ref="C982"/>
    <hyperlink r:id="rId1073" ref="G982"/>
    <hyperlink r:id="rId1074" ref="C983"/>
    <hyperlink r:id="rId1075" ref="G983"/>
    <hyperlink r:id="rId1076" ref="C984"/>
    <hyperlink r:id="rId1077" ref="G984"/>
    <hyperlink r:id="rId1078" ref="C985"/>
    <hyperlink r:id="rId1079" ref="G985"/>
    <hyperlink r:id="rId1080" ref="C986"/>
    <hyperlink r:id="rId1081" ref="G986"/>
    <hyperlink r:id="rId1082" ref="C987"/>
    <hyperlink r:id="rId1083" ref="G987"/>
    <hyperlink r:id="rId1084" ref="C988"/>
    <hyperlink r:id="rId1085" ref="G988"/>
    <hyperlink r:id="rId1086" ref="C989"/>
    <hyperlink r:id="rId1087" ref="G989"/>
    <hyperlink r:id="rId1088" ref="C990"/>
    <hyperlink r:id="rId1089" ref="G990"/>
    <hyperlink r:id="rId1090" ref="C991"/>
    <hyperlink r:id="rId1091" ref="G991"/>
    <hyperlink r:id="rId1092" ref="C992"/>
    <hyperlink r:id="rId1093" ref="C993"/>
    <hyperlink r:id="rId1094" ref="C994"/>
    <hyperlink r:id="rId1095" ref="C995"/>
    <hyperlink r:id="rId1096" ref="C996"/>
    <hyperlink r:id="rId1097" ref="C997"/>
    <hyperlink r:id="rId1098" ref="C998"/>
    <hyperlink r:id="rId1099" ref="C999"/>
    <hyperlink r:id="rId1100" ref="C1000"/>
    <hyperlink r:id="rId1101" ref="C1001"/>
    <hyperlink r:id="rId1102" ref="C1002"/>
    <hyperlink r:id="rId1103" ref="C1003"/>
    <hyperlink r:id="rId1104" ref="C1004"/>
    <hyperlink r:id="rId1105" ref="C1005"/>
    <hyperlink r:id="rId1106" ref="C1006"/>
    <hyperlink r:id="rId1107" ref="C1007"/>
    <hyperlink r:id="rId1108" ref="C1008"/>
    <hyperlink r:id="rId1109" ref="C1009"/>
    <hyperlink r:id="rId1110" ref="C1010"/>
    <hyperlink r:id="rId1111" ref="C1011"/>
    <hyperlink r:id="rId1112" ref="C1012"/>
    <hyperlink r:id="rId1113" ref="C1013"/>
    <hyperlink r:id="rId1114" ref="C1014"/>
    <hyperlink r:id="rId1115" ref="C1015"/>
    <hyperlink r:id="rId1116" ref="C1016"/>
    <hyperlink r:id="rId1117" ref="C1017"/>
    <hyperlink r:id="rId1118" ref="C1018"/>
    <hyperlink r:id="rId1119" ref="C1019"/>
    <hyperlink r:id="rId1120" ref="C1020"/>
    <hyperlink r:id="rId1121" ref="C1021"/>
    <hyperlink r:id="rId1122" ref="C1022"/>
    <hyperlink r:id="rId1123" ref="C1023"/>
    <hyperlink r:id="rId1124" ref="C1024"/>
    <hyperlink r:id="rId1125" ref="C1025"/>
    <hyperlink r:id="rId1126" ref="C1026"/>
    <hyperlink r:id="rId1127" ref="C1027"/>
    <hyperlink r:id="rId1128" ref="C1028"/>
    <hyperlink r:id="rId1129" ref="C1029"/>
    <hyperlink r:id="rId1130" ref="C1030"/>
    <hyperlink r:id="rId1131" ref="C1031"/>
    <hyperlink r:id="rId1132" ref="C1032"/>
    <hyperlink r:id="rId1133" ref="C1033"/>
    <hyperlink r:id="rId1134" ref="C1034"/>
    <hyperlink r:id="rId1135" ref="C1035"/>
    <hyperlink r:id="rId1136" ref="C1036"/>
    <hyperlink r:id="rId1137" ref="C1037"/>
    <hyperlink r:id="rId1138" ref="C1038"/>
    <hyperlink r:id="rId1139" ref="C1039"/>
    <hyperlink r:id="rId1140" ref="C1040"/>
    <hyperlink r:id="rId1141" ref="C1041"/>
    <hyperlink r:id="rId1142" ref="C1042"/>
    <hyperlink r:id="rId1143" ref="C1043"/>
    <hyperlink r:id="rId1144" ref="C1044"/>
    <hyperlink r:id="rId1145" ref="C1045"/>
    <hyperlink r:id="rId1146" ref="C1046"/>
    <hyperlink r:id="rId1147" ref="C1047"/>
    <hyperlink r:id="rId1148" ref="C1048"/>
    <hyperlink r:id="rId1149" ref="C1049"/>
    <hyperlink r:id="rId1150" ref="C1050"/>
    <hyperlink r:id="rId1151" ref="C1051"/>
    <hyperlink r:id="rId1152" ref="C1052"/>
    <hyperlink r:id="rId1153" ref="C1053"/>
    <hyperlink r:id="rId1154" ref="C1054"/>
    <hyperlink r:id="rId1155" ref="C1055"/>
    <hyperlink r:id="rId1156" ref="C1056"/>
    <hyperlink r:id="rId1157" ref="C1057"/>
    <hyperlink r:id="rId1158" ref="C1058"/>
    <hyperlink r:id="rId1159" ref="C1059"/>
    <hyperlink r:id="rId1160" ref="C1060"/>
    <hyperlink r:id="rId1161" ref="C1061"/>
    <hyperlink r:id="rId1162" ref="C1062"/>
    <hyperlink r:id="rId1163" ref="C1064"/>
    <hyperlink r:id="rId1164" ref="G1064"/>
    <hyperlink r:id="rId1165" ref="C1065"/>
    <hyperlink r:id="rId1166" ref="G1065"/>
    <hyperlink r:id="rId1167" ref="C1066"/>
    <hyperlink r:id="rId1168" ref="G1066"/>
    <hyperlink r:id="rId1169" ref="C1067"/>
    <hyperlink r:id="rId1170" ref="G1067"/>
    <hyperlink r:id="rId1171" ref="C1068"/>
    <hyperlink r:id="rId1172" ref="G1068"/>
    <hyperlink r:id="rId1173" ref="C1069"/>
    <hyperlink r:id="rId1174" ref="G1069"/>
    <hyperlink r:id="rId1175" ref="C1070"/>
    <hyperlink r:id="rId1176" ref="G1070"/>
    <hyperlink r:id="rId1177" ref="C1071"/>
    <hyperlink r:id="rId1178" ref="G1071"/>
    <hyperlink r:id="rId1179" ref="C1072"/>
    <hyperlink r:id="rId1180" ref="G1072"/>
    <hyperlink r:id="rId1181" ref="C1073"/>
    <hyperlink r:id="rId1182" ref="G1073"/>
    <hyperlink r:id="rId1183" ref="C1074"/>
    <hyperlink r:id="rId1184" ref="G1074"/>
    <hyperlink r:id="rId1185" ref="C1075"/>
    <hyperlink r:id="rId1186" ref="G1075"/>
    <hyperlink r:id="rId1187" ref="C1076"/>
    <hyperlink r:id="rId1188" ref="G1076"/>
    <hyperlink r:id="rId1189" ref="C1077"/>
    <hyperlink r:id="rId1190" ref="G1077"/>
    <hyperlink r:id="rId1191" ref="C1078"/>
    <hyperlink r:id="rId1192" ref="G1078"/>
    <hyperlink r:id="rId1193" ref="C1079"/>
    <hyperlink r:id="rId1194" ref="G1079"/>
    <hyperlink r:id="rId1195" ref="C1080"/>
    <hyperlink r:id="rId1196" ref="G1080"/>
    <hyperlink r:id="rId1197" ref="C1081"/>
    <hyperlink r:id="rId1198" ref="G1081"/>
    <hyperlink r:id="rId1199" ref="C1082"/>
    <hyperlink r:id="rId1200" ref="G1082"/>
    <hyperlink r:id="rId1201" ref="C1083"/>
    <hyperlink r:id="rId1202" ref="G1083"/>
    <hyperlink r:id="rId1203" ref="C1084"/>
    <hyperlink r:id="rId1204" ref="G1084"/>
    <hyperlink r:id="rId1205" ref="C1085"/>
    <hyperlink r:id="rId1206" ref="G1085"/>
    <hyperlink r:id="rId1207" ref="C1086"/>
    <hyperlink r:id="rId1208" ref="G1086"/>
    <hyperlink r:id="rId1209" ref="C1087"/>
    <hyperlink r:id="rId1210" ref="G1087"/>
    <hyperlink r:id="rId1211" ref="C1088"/>
    <hyperlink r:id="rId1212" ref="G1088"/>
    <hyperlink r:id="rId1213" ref="C1089"/>
    <hyperlink r:id="rId1214" ref="G1089"/>
    <hyperlink r:id="rId1215" ref="C1090"/>
    <hyperlink r:id="rId1216" ref="G1090"/>
    <hyperlink r:id="rId1217" ref="C1091"/>
    <hyperlink r:id="rId1218" ref="G1091"/>
    <hyperlink r:id="rId1219" ref="C1092"/>
    <hyperlink r:id="rId1220" ref="G1092"/>
    <hyperlink r:id="rId1221" ref="C1093"/>
    <hyperlink r:id="rId1222" ref="G1093"/>
    <hyperlink r:id="rId1223" ref="C1094"/>
    <hyperlink r:id="rId1224" ref="G1094"/>
    <hyperlink r:id="rId1225" ref="C1095"/>
    <hyperlink r:id="rId1226" ref="G1095"/>
    <hyperlink r:id="rId1227" ref="C1096"/>
    <hyperlink r:id="rId1228" ref="G1096"/>
    <hyperlink r:id="rId1229" ref="C1097"/>
    <hyperlink r:id="rId1230" ref="G1097"/>
    <hyperlink r:id="rId1231" ref="C1098"/>
    <hyperlink r:id="rId1232" ref="G1098"/>
    <hyperlink r:id="rId1233" ref="C1099"/>
    <hyperlink r:id="rId1234" ref="G1099"/>
    <hyperlink r:id="rId1235" ref="C1100"/>
    <hyperlink r:id="rId1236" ref="G1100"/>
    <hyperlink r:id="rId1237" ref="C1101"/>
    <hyperlink r:id="rId1238" ref="G1101"/>
    <hyperlink r:id="rId1239" ref="C1102"/>
    <hyperlink r:id="rId1240" ref="G1102"/>
    <hyperlink r:id="rId1241" ref="C1103"/>
    <hyperlink r:id="rId1242" ref="G1103"/>
    <hyperlink r:id="rId1243" ref="C1104"/>
    <hyperlink r:id="rId1244" ref="G1104"/>
    <hyperlink r:id="rId1245" ref="C1105"/>
    <hyperlink r:id="rId1246" ref="C1106"/>
    <hyperlink r:id="rId1247" ref="C1107"/>
    <hyperlink r:id="rId1248" ref="C1108"/>
    <hyperlink r:id="rId1249" ref="C1109"/>
    <hyperlink r:id="rId1250" ref="C1110"/>
    <hyperlink r:id="rId1251" ref="C1111"/>
    <hyperlink r:id="rId1252" ref="C1112"/>
    <hyperlink r:id="rId1253" ref="C1113"/>
    <hyperlink r:id="rId1254" ref="C1114"/>
    <hyperlink r:id="rId1255" ref="C1115"/>
    <hyperlink r:id="rId1256" ref="C1116"/>
    <hyperlink r:id="rId1257" ref="C1117"/>
    <hyperlink r:id="rId1258" ref="C1118"/>
    <hyperlink r:id="rId1259" ref="C1119"/>
    <hyperlink r:id="rId1260" ref="C1120"/>
    <hyperlink r:id="rId1261" ref="C1121"/>
    <hyperlink r:id="rId1262" ref="C1122"/>
    <hyperlink r:id="rId1263" ref="C1123"/>
    <hyperlink r:id="rId1264" ref="C1124"/>
    <hyperlink r:id="rId1265" ref="C1125"/>
    <hyperlink r:id="rId1266" ref="C1126"/>
    <hyperlink r:id="rId1267" ref="C1127"/>
    <hyperlink r:id="rId1268" ref="C1128"/>
    <hyperlink r:id="rId1269" ref="C1129"/>
    <hyperlink r:id="rId1270" ref="C1130"/>
    <hyperlink r:id="rId1271" ref="C1131"/>
    <hyperlink r:id="rId1272" ref="C1132"/>
    <hyperlink r:id="rId1273" ref="C1133"/>
    <hyperlink r:id="rId1274" ref="C1134"/>
    <hyperlink r:id="rId1275" ref="C1135"/>
    <hyperlink r:id="rId1276" ref="C1136"/>
    <hyperlink r:id="rId1277" ref="C1137"/>
    <hyperlink r:id="rId1278" ref="C1138"/>
    <hyperlink r:id="rId1279" ref="C1139"/>
    <hyperlink r:id="rId1280" ref="C1140"/>
    <hyperlink r:id="rId1281" ref="C1141"/>
    <hyperlink r:id="rId1282" ref="C1142"/>
    <hyperlink r:id="rId1283" ref="C1143"/>
    <hyperlink r:id="rId1284" ref="C1144"/>
    <hyperlink r:id="rId1285" ref="C1145"/>
    <hyperlink r:id="rId1286" ref="C1146"/>
    <hyperlink r:id="rId1287" ref="C1147"/>
    <hyperlink r:id="rId1288" ref="C1148"/>
    <hyperlink r:id="rId1289" ref="C1149"/>
    <hyperlink r:id="rId1290" ref="C1150"/>
    <hyperlink r:id="rId1291" ref="C1151"/>
    <hyperlink r:id="rId1292" ref="C1152"/>
    <hyperlink r:id="rId1293" ref="C1153"/>
    <hyperlink r:id="rId1294" ref="C1154"/>
    <hyperlink r:id="rId1295" ref="C1155"/>
    <hyperlink r:id="rId1296" ref="C1156"/>
    <hyperlink r:id="rId1297" ref="C1157"/>
    <hyperlink r:id="rId1298" ref="C1158"/>
    <hyperlink r:id="rId1299" ref="C1159"/>
    <hyperlink r:id="rId1300" ref="C1160"/>
    <hyperlink r:id="rId1301" ref="C1161"/>
    <hyperlink r:id="rId1302" ref="C1162"/>
    <hyperlink r:id="rId1303" ref="C1163"/>
    <hyperlink r:id="rId1304" ref="C1164"/>
    <hyperlink r:id="rId1305" ref="C1165"/>
    <hyperlink r:id="rId1306" ref="C1166"/>
    <hyperlink r:id="rId1307" ref="C1167"/>
    <hyperlink r:id="rId1308" ref="C1168"/>
    <hyperlink r:id="rId1309" ref="C1169"/>
    <hyperlink r:id="rId1310" ref="C1170"/>
    <hyperlink r:id="rId1311" ref="C1171"/>
    <hyperlink r:id="rId1312" ref="C1172"/>
    <hyperlink r:id="rId1313" ref="C1173"/>
    <hyperlink r:id="rId1314" ref="C1174"/>
    <hyperlink r:id="rId1315" ref="C1175"/>
    <hyperlink r:id="rId1316" ref="C1176"/>
    <hyperlink r:id="rId1317" ref="C1177"/>
    <hyperlink r:id="rId1318" ref="C1178"/>
    <hyperlink r:id="rId1319" ref="C1179"/>
    <hyperlink r:id="rId1320" ref="C1180"/>
    <hyperlink r:id="rId1321" ref="C1181"/>
    <hyperlink r:id="rId1322" ref="C1182"/>
    <hyperlink r:id="rId1323" ref="C1183"/>
    <hyperlink r:id="rId1324" ref="C1184"/>
    <hyperlink r:id="rId1325" ref="C1185"/>
    <hyperlink r:id="rId1326" ref="C1186"/>
    <hyperlink r:id="rId1327" ref="C1187"/>
    <hyperlink r:id="rId1328" ref="C1188"/>
    <hyperlink r:id="rId1329" ref="C1189"/>
    <hyperlink r:id="rId1330" ref="C1190"/>
    <hyperlink r:id="rId1331" ref="C1191"/>
    <hyperlink r:id="rId1332" ref="C1193"/>
    <hyperlink r:id="rId1333" ref="G1193"/>
    <hyperlink r:id="rId1334" ref="C1194"/>
    <hyperlink r:id="rId1335" ref="G1194"/>
    <hyperlink r:id="rId1336" ref="C1195"/>
    <hyperlink r:id="rId1337" ref="G1195"/>
    <hyperlink r:id="rId1338" ref="C1196"/>
    <hyperlink r:id="rId1339" ref="G1196"/>
    <hyperlink r:id="rId1340" ref="C1197"/>
    <hyperlink r:id="rId1341" ref="G1197"/>
    <hyperlink r:id="rId1342" ref="C1198"/>
    <hyperlink r:id="rId1343" ref="G1198"/>
    <hyperlink r:id="rId1344" ref="C1199"/>
    <hyperlink r:id="rId1345" ref="G1199"/>
    <hyperlink r:id="rId1346" ref="C1200"/>
    <hyperlink r:id="rId1347" ref="C1201"/>
    <hyperlink r:id="rId1348" ref="C1202"/>
    <hyperlink r:id="rId1349" ref="C1203"/>
    <hyperlink r:id="rId1350" ref="C1204"/>
    <hyperlink r:id="rId1351" ref="C1205"/>
    <hyperlink r:id="rId1352" ref="C1206"/>
    <hyperlink r:id="rId1353" ref="C1207"/>
    <hyperlink r:id="rId1354" ref="C1208"/>
    <hyperlink r:id="rId1355" ref="C1209"/>
    <hyperlink r:id="rId1356" ref="C1210"/>
    <hyperlink r:id="rId1357" ref="C1211"/>
    <hyperlink r:id="rId1358" ref="C1212"/>
    <hyperlink r:id="rId1359" ref="C1213"/>
    <hyperlink r:id="rId1360" ref="C1214"/>
    <hyperlink r:id="rId1361" ref="C1215"/>
    <hyperlink r:id="rId1362" ref="C1216"/>
    <hyperlink r:id="rId1363" ref="C1217"/>
    <hyperlink r:id="rId1364" ref="C1218"/>
    <hyperlink r:id="rId1365" ref="C1219"/>
    <hyperlink r:id="rId1366" ref="C1220"/>
    <hyperlink r:id="rId1367" ref="C1221"/>
    <hyperlink r:id="rId1368" ref="C1222"/>
    <hyperlink r:id="rId1369" ref="C1223"/>
    <hyperlink r:id="rId1370" ref="C1224"/>
    <hyperlink r:id="rId1371" ref="C1225"/>
    <hyperlink r:id="rId1372" ref="C1226"/>
    <hyperlink r:id="rId1373" ref="C1227"/>
    <hyperlink r:id="rId1374" ref="C1228"/>
    <hyperlink r:id="rId1375" ref="C1229"/>
    <hyperlink r:id="rId1376" ref="C1230"/>
    <hyperlink r:id="rId1377" ref="C1231"/>
    <hyperlink r:id="rId1378" ref="C1232"/>
    <hyperlink r:id="rId1379" ref="C1233"/>
    <hyperlink r:id="rId1380" ref="C1234"/>
    <hyperlink r:id="rId1381" ref="C1235"/>
    <hyperlink r:id="rId1382" ref="C1236"/>
    <hyperlink r:id="rId1383" ref="C1237"/>
    <hyperlink r:id="rId1384" ref="C1238"/>
    <hyperlink r:id="rId1385" ref="C1239"/>
    <hyperlink r:id="rId1386" ref="C1240"/>
    <hyperlink r:id="rId1387" ref="C1241"/>
    <hyperlink r:id="rId1388" ref="C1242"/>
    <hyperlink r:id="rId1389" ref="C1243"/>
    <hyperlink r:id="rId1390" ref="C1244"/>
    <hyperlink r:id="rId1391" ref="C1245"/>
    <hyperlink r:id="rId1392" ref="C1246"/>
    <hyperlink r:id="rId1393" ref="C1247"/>
    <hyperlink r:id="rId1394" ref="C1248"/>
    <hyperlink r:id="rId1395" ref="C1249"/>
    <hyperlink r:id="rId1396" ref="C1250"/>
    <hyperlink r:id="rId1397" ref="C1251"/>
    <hyperlink r:id="rId1398" ref="C1252"/>
    <hyperlink r:id="rId1399" ref="C1253"/>
    <hyperlink r:id="rId1400" ref="C1254"/>
    <hyperlink r:id="rId1401" ref="C1255"/>
    <hyperlink r:id="rId1402" ref="C1256"/>
    <hyperlink r:id="rId1403" ref="C1257"/>
    <hyperlink r:id="rId1404" ref="C1258"/>
    <hyperlink r:id="rId1405" ref="C1260"/>
    <hyperlink r:id="rId1406" ref="G1260"/>
    <hyperlink r:id="rId1407" ref="C1261"/>
    <hyperlink r:id="rId1408" ref="G1261"/>
    <hyperlink r:id="rId1409" ref="C1262"/>
    <hyperlink r:id="rId1410" ref="G1262"/>
    <hyperlink r:id="rId1411" ref="C1263"/>
    <hyperlink r:id="rId1412" ref="G1263"/>
    <hyperlink r:id="rId1413" ref="C1264"/>
    <hyperlink r:id="rId1414" ref="G1264"/>
    <hyperlink r:id="rId1415" ref="C1265"/>
    <hyperlink r:id="rId1416" ref="G1265"/>
    <hyperlink r:id="rId1417" ref="C1266"/>
    <hyperlink r:id="rId1418" ref="G1266"/>
    <hyperlink r:id="rId1419" ref="C1267"/>
    <hyperlink r:id="rId1420" ref="G1267"/>
    <hyperlink r:id="rId1421" ref="C1268"/>
    <hyperlink r:id="rId1422" ref="G1268"/>
    <hyperlink r:id="rId1423" ref="C1269"/>
    <hyperlink r:id="rId1424" ref="C1270"/>
    <hyperlink r:id="rId1425" ref="C1271"/>
    <hyperlink r:id="rId1426" ref="C1272"/>
    <hyperlink r:id="rId1427" ref="C1273"/>
    <hyperlink r:id="rId1428" ref="C1274"/>
    <hyperlink r:id="rId1429" ref="C1275"/>
    <hyperlink r:id="rId1430" ref="C1276"/>
    <hyperlink r:id="rId1431" ref="C1277"/>
    <hyperlink r:id="rId1432" ref="C1278"/>
    <hyperlink r:id="rId1433" ref="C1279"/>
    <hyperlink r:id="rId1434" ref="C1280"/>
    <hyperlink r:id="rId1435" ref="C1281"/>
    <hyperlink r:id="rId1436" ref="C1282"/>
    <hyperlink r:id="rId1437" ref="C1283"/>
    <hyperlink r:id="rId1438" ref="C1284"/>
    <hyperlink r:id="rId1439" ref="C1285"/>
    <hyperlink r:id="rId1440" ref="C1286"/>
    <hyperlink r:id="rId1441" ref="C1287"/>
    <hyperlink r:id="rId1442" ref="C1288"/>
    <hyperlink r:id="rId1443" ref="C1289"/>
    <hyperlink r:id="rId1444" ref="C1290"/>
    <hyperlink r:id="rId1445" ref="C1291"/>
    <hyperlink r:id="rId1446" ref="C1292"/>
    <hyperlink r:id="rId1447" ref="C1293"/>
    <hyperlink r:id="rId1448" ref="C1294"/>
    <hyperlink r:id="rId1449" ref="C1295"/>
    <hyperlink r:id="rId1450" ref="C1296"/>
    <hyperlink r:id="rId1451" ref="C1297"/>
    <hyperlink r:id="rId1452" ref="C1298"/>
    <hyperlink r:id="rId1453" ref="C1299"/>
    <hyperlink r:id="rId1454" ref="C1300"/>
    <hyperlink r:id="rId1455" ref="C1301"/>
    <hyperlink r:id="rId1456" ref="C1302"/>
    <hyperlink r:id="rId1457" ref="C1303"/>
    <hyperlink r:id="rId1458" ref="C1304"/>
    <hyperlink r:id="rId1459" ref="C1305"/>
    <hyperlink r:id="rId1460" ref="C1306"/>
    <hyperlink r:id="rId1461" ref="C1307"/>
    <hyperlink r:id="rId1462" ref="C1308"/>
    <hyperlink r:id="rId1463" ref="C1309"/>
    <hyperlink r:id="rId1464" ref="C1310"/>
    <hyperlink r:id="rId1465" ref="C1311"/>
    <hyperlink r:id="rId1466" ref="C1312"/>
    <hyperlink r:id="rId1467" ref="C1313"/>
    <hyperlink r:id="rId1468" ref="C1314"/>
    <hyperlink r:id="rId1469" ref="C1315"/>
    <hyperlink r:id="rId1470" ref="C1316"/>
    <hyperlink r:id="rId1471" ref="C1317"/>
    <hyperlink r:id="rId1472" ref="C1318"/>
    <hyperlink r:id="rId1473" ref="C1319"/>
    <hyperlink r:id="rId1474" ref="C1320"/>
    <hyperlink r:id="rId1475" ref="C1321"/>
    <hyperlink r:id="rId1476" ref="C1322"/>
    <hyperlink r:id="rId1477" ref="C1323"/>
    <hyperlink r:id="rId1478" ref="C1324"/>
    <hyperlink r:id="rId1479" ref="C1325"/>
    <hyperlink r:id="rId1480" ref="C1326"/>
    <hyperlink r:id="rId1481" ref="C1327"/>
    <hyperlink r:id="rId1482" ref="C1328"/>
    <hyperlink r:id="rId1483" ref="C1329"/>
    <hyperlink r:id="rId1484" ref="C1330"/>
    <hyperlink r:id="rId1485" ref="C1331"/>
    <hyperlink r:id="rId1486" ref="C1332"/>
    <hyperlink r:id="rId1487" ref="C1333"/>
    <hyperlink r:id="rId1488" ref="C1334"/>
    <hyperlink r:id="rId1489" ref="C1335"/>
    <hyperlink r:id="rId1490" ref="C1336"/>
    <hyperlink r:id="rId1491" ref="C1337"/>
    <hyperlink r:id="rId1492" ref="C1338"/>
    <hyperlink r:id="rId1493" ref="C1339"/>
    <hyperlink r:id="rId1494" ref="C1340"/>
    <hyperlink r:id="rId1495" ref="C1341"/>
    <hyperlink r:id="rId1496" ref="C1342"/>
    <hyperlink r:id="rId1497" ref="C1343"/>
    <hyperlink r:id="rId1498" ref="C1344"/>
    <hyperlink r:id="rId1499" ref="C1345"/>
    <hyperlink r:id="rId1500" ref="C1346"/>
    <hyperlink r:id="rId1501" ref="C1347"/>
    <hyperlink r:id="rId1502" ref="C1348"/>
    <hyperlink r:id="rId1503" ref="C1349"/>
    <hyperlink r:id="rId1504" ref="C1350"/>
    <hyperlink r:id="rId1505" ref="C1351"/>
    <hyperlink r:id="rId1506" ref="C1352"/>
    <hyperlink r:id="rId1507" ref="C1353"/>
    <hyperlink r:id="rId1508" ref="C1354"/>
    <hyperlink r:id="rId1509" ref="C1355"/>
    <hyperlink r:id="rId1510" ref="C1356"/>
    <hyperlink r:id="rId1511" ref="C1357"/>
    <hyperlink r:id="rId1512" ref="C1358"/>
    <hyperlink r:id="rId1513" ref="C1359"/>
    <hyperlink r:id="rId1514" ref="C1360"/>
    <hyperlink r:id="rId1515" ref="C1361"/>
    <hyperlink r:id="rId1516" ref="C1362"/>
    <hyperlink r:id="rId1517" ref="C1363"/>
    <hyperlink r:id="rId1518" ref="C1364"/>
    <hyperlink r:id="rId1519" ref="C1365"/>
    <hyperlink r:id="rId1520" ref="C1366"/>
    <hyperlink r:id="rId1521" ref="C1367"/>
    <hyperlink r:id="rId1522" ref="C1368"/>
    <hyperlink r:id="rId1523" ref="C1370"/>
    <hyperlink r:id="rId1524" ref="G1370"/>
    <hyperlink r:id="rId1525" ref="C1371"/>
    <hyperlink r:id="rId1526" ref="G1371"/>
    <hyperlink r:id="rId1527" ref="C1372"/>
    <hyperlink r:id="rId1528" ref="G1372"/>
    <hyperlink r:id="rId1529" ref="C1373"/>
    <hyperlink r:id="rId1530" ref="G1373"/>
    <hyperlink r:id="rId1531" ref="C1374"/>
    <hyperlink r:id="rId1532" ref="G1374"/>
    <hyperlink r:id="rId1533" ref="C1375"/>
    <hyperlink r:id="rId1534" ref="G1375"/>
    <hyperlink r:id="rId1535" ref="C1376"/>
    <hyperlink r:id="rId1536" ref="G1376"/>
    <hyperlink r:id="rId1537" ref="C1377"/>
    <hyperlink r:id="rId1538" ref="G1377"/>
    <hyperlink r:id="rId1539" ref="C1378"/>
    <hyperlink r:id="rId1540" ref="G1378"/>
    <hyperlink r:id="rId1541" ref="C1379"/>
    <hyperlink r:id="rId1542" ref="G1379"/>
    <hyperlink r:id="rId1543" ref="C1380"/>
    <hyperlink r:id="rId1544" ref="C1381"/>
    <hyperlink r:id="rId1545" ref="C1382"/>
    <hyperlink r:id="rId1546" ref="C1383"/>
    <hyperlink r:id="rId1547" ref="C1384"/>
    <hyperlink r:id="rId1548" ref="C1385"/>
    <hyperlink r:id="rId1549" ref="C1386"/>
    <hyperlink r:id="rId1550" ref="C1387"/>
    <hyperlink r:id="rId1551" ref="C1388"/>
    <hyperlink r:id="rId1552" ref="C1389"/>
    <hyperlink r:id="rId1553" ref="C1390"/>
    <hyperlink r:id="rId1554" ref="C1391"/>
    <hyperlink r:id="rId1555" ref="C1392"/>
    <hyperlink r:id="rId1556" ref="C1393"/>
    <hyperlink r:id="rId1557" ref="C1394"/>
    <hyperlink r:id="rId1558" ref="C1395"/>
    <hyperlink r:id="rId1559" ref="C1396"/>
    <hyperlink r:id="rId1560" ref="C1397"/>
    <hyperlink r:id="rId1561" ref="C1398"/>
    <hyperlink r:id="rId1562" ref="C1399"/>
    <hyperlink r:id="rId1563" ref="C1400"/>
    <hyperlink r:id="rId1564" ref="C1401"/>
    <hyperlink r:id="rId1565" ref="C1402"/>
    <hyperlink r:id="rId1566" ref="C1403"/>
    <hyperlink r:id="rId1567" ref="C1404"/>
    <hyperlink r:id="rId1568" ref="C1405"/>
    <hyperlink r:id="rId1569" ref="C1406"/>
    <hyperlink r:id="rId1570" ref="C1407"/>
    <hyperlink r:id="rId1571" ref="C1408"/>
    <hyperlink r:id="rId1572" ref="C1409"/>
    <hyperlink r:id="rId1573" ref="C1410"/>
    <hyperlink r:id="rId1574" ref="C1411"/>
    <hyperlink r:id="rId1575" ref="C1412"/>
    <hyperlink r:id="rId1576" ref="C1413"/>
    <hyperlink r:id="rId1577" ref="C1414"/>
    <hyperlink r:id="rId1578" ref="C1415"/>
    <hyperlink r:id="rId1579" ref="C1416"/>
    <hyperlink r:id="rId1580" ref="C1417"/>
    <hyperlink r:id="rId1581" ref="C1418"/>
    <hyperlink r:id="rId1582" ref="C1419"/>
    <hyperlink r:id="rId1583" ref="C1420"/>
    <hyperlink r:id="rId1584" ref="C1421"/>
    <hyperlink r:id="rId1585" ref="C1422"/>
    <hyperlink r:id="rId1586" ref="C1423"/>
    <hyperlink r:id="rId1587" ref="C1424"/>
    <hyperlink r:id="rId1588" ref="C1425"/>
    <hyperlink r:id="rId1589" ref="C1426"/>
    <hyperlink r:id="rId1590" ref="C1427"/>
    <hyperlink r:id="rId1591" ref="C1428"/>
    <hyperlink r:id="rId1592" ref="C1429"/>
    <hyperlink r:id="rId1593" ref="C1430"/>
    <hyperlink r:id="rId1594" ref="C1431"/>
    <hyperlink r:id="rId1595" ref="C1432"/>
    <hyperlink r:id="rId1596" ref="C1433"/>
    <hyperlink r:id="rId1597" ref="C1434"/>
    <hyperlink r:id="rId1598" ref="C1435"/>
    <hyperlink r:id="rId1599" ref="C1436"/>
    <hyperlink r:id="rId1600" ref="C1437"/>
    <hyperlink r:id="rId1601" ref="C1438"/>
    <hyperlink r:id="rId1602" ref="C1440"/>
    <hyperlink r:id="rId1603" ref="G1440"/>
    <hyperlink r:id="rId1604" ref="C1441"/>
    <hyperlink r:id="rId1605" ref="G1441"/>
    <hyperlink r:id="rId1606" ref="C1442"/>
    <hyperlink r:id="rId1607" ref="G1442"/>
    <hyperlink r:id="rId1608" ref="C1443"/>
    <hyperlink r:id="rId1609" ref="G1443"/>
    <hyperlink r:id="rId1610" ref="C1444"/>
    <hyperlink r:id="rId1611" ref="G1444"/>
    <hyperlink r:id="rId1612" ref="C1445"/>
    <hyperlink r:id="rId1613" ref="G1445"/>
    <hyperlink r:id="rId1614" ref="C1446"/>
    <hyperlink r:id="rId1615" ref="G1446"/>
    <hyperlink r:id="rId1616" ref="C1447"/>
    <hyperlink r:id="rId1617" ref="G1447"/>
    <hyperlink r:id="rId1618" ref="C1448"/>
    <hyperlink r:id="rId1619" ref="G1448"/>
    <hyperlink r:id="rId1620" ref="C1449"/>
    <hyperlink r:id="rId1621" ref="G1449"/>
    <hyperlink r:id="rId1622" ref="C1450"/>
    <hyperlink r:id="rId1623" ref="C1451"/>
    <hyperlink r:id="rId1624" ref="C1452"/>
    <hyperlink r:id="rId1625" ref="C1453"/>
    <hyperlink r:id="rId1626" ref="C1454"/>
    <hyperlink r:id="rId1627" ref="C1455"/>
    <hyperlink r:id="rId1628" ref="C1456"/>
    <hyperlink r:id="rId1629" ref="C1457"/>
    <hyperlink r:id="rId1630" ref="C1458"/>
    <hyperlink r:id="rId1631" ref="C1459"/>
    <hyperlink r:id="rId1632" ref="C1460"/>
    <hyperlink r:id="rId1633" ref="C1461"/>
    <hyperlink r:id="rId1634" ref="C1462"/>
    <hyperlink r:id="rId1635" ref="C1463"/>
    <hyperlink r:id="rId1636" ref="C1464"/>
    <hyperlink r:id="rId1637" ref="C1465"/>
    <hyperlink r:id="rId1638" ref="C1466"/>
    <hyperlink r:id="rId1639" ref="C1467"/>
    <hyperlink r:id="rId1640" ref="C1468"/>
    <hyperlink r:id="rId1641" ref="C1469"/>
    <hyperlink r:id="rId1642" ref="C1470"/>
    <hyperlink r:id="rId1643" ref="C1471"/>
    <hyperlink r:id="rId1644" ref="C1472"/>
    <hyperlink r:id="rId1645" ref="C1473"/>
    <hyperlink r:id="rId1646" ref="C1474"/>
    <hyperlink r:id="rId1647" ref="C1475"/>
    <hyperlink r:id="rId1648" ref="C1476"/>
    <hyperlink r:id="rId1649" ref="C1477"/>
    <hyperlink r:id="rId1650" ref="C1478"/>
    <hyperlink r:id="rId1651" ref="C1479"/>
    <hyperlink r:id="rId1652" ref="C1480"/>
    <hyperlink r:id="rId1653" ref="C1481"/>
    <hyperlink r:id="rId1654" ref="C1482"/>
    <hyperlink r:id="rId1655" ref="C1483"/>
    <hyperlink r:id="rId1656" ref="C1484"/>
    <hyperlink r:id="rId1657" ref="C1485"/>
    <hyperlink r:id="rId1658" ref="C1486"/>
    <hyperlink r:id="rId1659" ref="C1487"/>
    <hyperlink r:id="rId1660" ref="C1488"/>
    <hyperlink r:id="rId1661" ref="C1489"/>
    <hyperlink r:id="rId1662" ref="C1490"/>
    <hyperlink r:id="rId1663" ref="C1491"/>
    <hyperlink r:id="rId1664" ref="C1492"/>
    <hyperlink r:id="rId1665" ref="C1493"/>
    <hyperlink r:id="rId1666" ref="C1494"/>
    <hyperlink r:id="rId1667" ref="C1495"/>
    <hyperlink r:id="rId1668" ref="C1496"/>
    <hyperlink r:id="rId1669" ref="C1497"/>
    <hyperlink r:id="rId1670" ref="C1498"/>
    <hyperlink r:id="rId1671" ref="C1499"/>
    <hyperlink r:id="rId1672" ref="C1500"/>
    <hyperlink r:id="rId1673" ref="C1501"/>
    <hyperlink r:id="rId1674" ref="C1502"/>
    <hyperlink r:id="rId1675" ref="C1503"/>
    <hyperlink r:id="rId1676" ref="C1504"/>
    <hyperlink r:id="rId1677" ref="C1505"/>
    <hyperlink r:id="rId1678" ref="C1506"/>
    <hyperlink r:id="rId1679" ref="C1507"/>
    <hyperlink r:id="rId1680" ref="C1508"/>
    <hyperlink r:id="rId1681" ref="C1509"/>
    <hyperlink r:id="rId1682" ref="C1510"/>
    <hyperlink r:id="rId1683" ref="C1511"/>
    <hyperlink r:id="rId1684" ref="C1512"/>
    <hyperlink r:id="rId1685" ref="C1513"/>
    <hyperlink r:id="rId1686" ref="C1514"/>
    <hyperlink r:id="rId1687" ref="C1515"/>
    <hyperlink r:id="rId1688" ref="C1516"/>
    <hyperlink r:id="rId1689" ref="C1518"/>
    <hyperlink r:id="rId1690" ref="G1518"/>
    <hyperlink r:id="rId1691" ref="C1519"/>
    <hyperlink r:id="rId1692" ref="G1519"/>
    <hyperlink r:id="rId1693" ref="C1520"/>
    <hyperlink r:id="rId1694" ref="G1520"/>
    <hyperlink r:id="rId1695" ref="C1521"/>
    <hyperlink r:id="rId1696" ref="G1521"/>
    <hyperlink r:id="rId1697" ref="C1522"/>
    <hyperlink r:id="rId1698" ref="G1522"/>
    <hyperlink r:id="rId1699" ref="C1523"/>
    <hyperlink r:id="rId1700" ref="G1523"/>
    <hyperlink r:id="rId1701" ref="C1524"/>
    <hyperlink r:id="rId1702" ref="G1524"/>
    <hyperlink r:id="rId1703" ref="C1525"/>
    <hyperlink r:id="rId1704" ref="C1526"/>
    <hyperlink r:id="rId1705" ref="C1527"/>
    <hyperlink r:id="rId1706" ref="C1528"/>
    <hyperlink r:id="rId1707" ref="C1529"/>
    <hyperlink r:id="rId1708" ref="C1530"/>
    <hyperlink r:id="rId1709" ref="C1531"/>
    <hyperlink r:id="rId1710" ref="C1532"/>
    <hyperlink r:id="rId1711" ref="C1533"/>
    <hyperlink r:id="rId1712" ref="C1534"/>
    <hyperlink r:id="rId1713" ref="C1535"/>
    <hyperlink r:id="rId1714" ref="C1536"/>
    <hyperlink r:id="rId1715" ref="C1537"/>
    <hyperlink r:id="rId1716" ref="C1538"/>
    <hyperlink r:id="rId1717" ref="C1539"/>
    <hyperlink r:id="rId1718" ref="C1540"/>
    <hyperlink r:id="rId1719" ref="C1541"/>
    <hyperlink r:id="rId1720" ref="C1542"/>
    <hyperlink r:id="rId1721" ref="C1543"/>
    <hyperlink r:id="rId1722" ref="C1544"/>
    <hyperlink r:id="rId1723" ref="C1545"/>
    <hyperlink r:id="rId1724" ref="C1546"/>
    <hyperlink r:id="rId1725" ref="C1547"/>
    <hyperlink r:id="rId1726" ref="C1548"/>
    <hyperlink r:id="rId1727" ref="C1549"/>
    <hyperlink r:id="rId1728" ref="C1550"/>
    <hyperlink r:id="rId1729" ref="C1551"/>
    <hyperlink r:id="rId1730" ref="C1552"/>
    <hyperlink r:id="rId1731" ref="C1553"/>
    <hyperlink r:id="rId1732" ref="C1554"/>
    <hyperlink r:id="rId1733" ref="C1555"/>
    <hyperlink r:id="rId1734" ref="C1556"/>
    <hyperlink r:id="rId1735" ref="C1557"/>
    <hyperlink r:id="rId1736" ref="C1558"/>
    <hyperlink r:id="rId1737" ref="C1559"/>
    <hyperlink r:id="rId1738" ref="C1560"/>
    <hyperlink r:id="rId1739" ref="C1561"/>
    <hyperlink r:id="rId1740" ref="C1562"/>
    <hyperlink r:id="rId1741" ref="C1564"/>
    <hyperlink r:id="rId1742" ref="G1564"/>
    <hyperlink r:id="rId1743" ref="C1565"/>
    <hyperlink r:id="rId1744" ref="G1565"/>
    <hyperlink r:id="rId1745" ref="C1566"/>
    <hyperlink r:id="rId1746" ref="G1566"/>
    <hyperlink r:id="rId1747" ref="C1567"/>
    <hyperlink r:id="rId1748" ref="G1567"/>
    <hyperlink r:id="rId1749" ref="C1568"/>
    <hyperlink r:id="rId1750" ref="G1568"/>
    <hyperlink r:id="rId1751" ref="C1569"/>
    <hyperlink r:id="rId1752" ref="G1569"/>
    <hyperlink r:id="rId1753" ref="C1570"/>
    <hyperlink r:id="rId1754" ref="G1570"/>
    <hyperlink r:id="rId1755" ref="C1571"/>
    <hyperlink r:id="rId1756" ref="G1571"/>
    <hyperlink r:id="rId1757" ref="C1572"/>
    <hyperlink r:id="rId1758" ref="G1572"/>
    <hyperlink r:id="rId1759" ref="C1573"/>
    <hyperlink r:id="rId1760" ref="G1573"/>
    <hyperlink r:id="rId1761" ref="C1574"/>
    <hyperlink r:id="rId1762" ref="G1574"/>
    <hyperlink r:id="rId1763" ref="C1575"/>
    <hyperlink r:id="rId1764" ref="G1575"/>
    <hyperlink r:id="rId1765" ref="C1576"/>
    <hyperlink r:id="rId1766" ref="G1576"/>
    <hyperlink r:id="rId1767" ref="C1577"/>
    <hyperlink r:id="rId1768" ref="G1577"/>
    <hyperlink r:id="rId1769" ref="C1578"/>
    <hyperlink r:id="rId1770" ref="G1578"/>
    <hyperlink r:id="rId1771" ref="C1579"/>
    <hyperlink r:id="rId1772" ref="G1579"/>
    <hyperlink r:id="rId1773" ref="C1580"/>
    <hyperlink r:id="rId1774" location="gid=226809603?trk=ondemandfile" ref="G1580"/>
    <hyperlink r:id="rId1775" ref="C1581"/>
    <hyperlink r:id="rId1776" ref="G1581"/>
    <hyperlink r:id="rId1777" ref="C1582"/>
    <hyperlink r:id="rId1778" ref="G1582"/>
    <hyperlink r:id="rId1779" ref="C1583"/>
    <hyperlink r:id="rId1780" ref="G1583"/>
    <hyperlink r:id="rId1781" ref="C1584"/>
    <hyperlink r:id="rId1782" ref="G1584"/>
    <hyperlink r:id="rId1783" ref="C1585"/>
    <hyperlink r:id="rId1784" ref="G1585"/>
    <hyperlink r:id="rId1785" ref="C1586"/>
    <hyperlink r:id="rId1786" ref="C1587"/>
    <hyperlink r:id="rId1787" ref="C1588"/>
    <hyperlink r:id="rId1788" ref="C1589"/>
    <hyperlink r:id="rId1789" ref="C1590"/>
    <hyperlink r:id="rId1790" ref="C1591"/>
    <hyperlink r:id="rId1791" ref="C1592"/>
    <hyperlink r:id="rId1792" ref="C1593"/>
    <hyperlink r:id="rId1793" ref="C1594"/>
    <hyperlink r:id="rId1794" ref="C1595"/>
    <hyperlink r:id="rId1795" ref="C1596"/>
    <hyperlink r:id="rId1796" ref="C1597"/>
    <hyperlink r:id="rId1797" ref="C1598"/>
    <hyperlink r:id="rId1798" ref="C1599"/>
    <hyperlink r:id="rId1799" ref="C1600"/>
    <hyperlink r:id="rId1800" ref="C1601"/>
    <hyperlink r:id="rId1801" ref="C1602"/>
    <hyperlink r:id="rId1802" ref="C1603"/>
    <hyperlink r:id="rId1803" ref="C1604"/>
    <hyperlink r:id="rId1804" ref="C1605"/>
    <hyperlink r:id="rId1805" ref="C1606"/>
    <hyperlink r:id="rId1806" ref="C1607"/>
    <hyperlink r:id="rId1807" ref="C1608"/>
    <hyperlink r:id="rId1808" ref="C1609"/>
    <hyperlink r:id="rId1809" ref="C1610"/>
    <hyperlink r:id="rId1810" ref="C1611"/>
    <hyperlink r:id="rId1811" ref="C1612"/>
    <hyperlink r:id="rId1812" ref="C1613"/>
    <hyperlink r:id="rId1813" ref="C1614"/>
    <hyperlink r:id="rId1814" ref="C1615"/>
    <hyperlink r:id="rId1815" ref="C1616"/>
    <hyperlink r:id="rId1816" ref="C1617"/>
    <hyperlink r:id="rId1817" ref="C1618"/>
    <hyperlink r:id="rId1818" ref="C1619"/>
    <hyperlink r:id="rId1819" ref="C1620"/>
    <hyperlink r:id="rId1820" ref="C1621"/>
    <hyperlink r:id="rId1821" ref="C1622"/>
    <hyperlink r:id="rId1822" ref="C1623"/>
    <hyperlink r:id="rId1823" ref="C1624"/>
    <hyperlink r:id="rId1824" ref="C1625"/>
    <hyperlink r:id="rId1825" ref="C1626"/>
    <hyperlink r:id="rId1826" ref="C1627"/>
    <hyperlink r:id="rId1827" ref="C1628"/>
    <hyperlink r:id="rId1828" ref="C1629"/>
    <hyperlink r:id="rId1829" ref="C1630"/>
    <hyperlink r:id="rId1830" ref="C1631"/>
    <hyperlink r:id="rId1831" ref="C1632"/>
    <hyperlink r:id="rId1832" ref="C1633"/>
    <hyperlink r:id="rId1833" ref="C1634"/>
    <hyperlink r:id="rId1834" ref="C1635"/>
    <hyperlink r:id="rId1835" ref="C1636"/>
    <hyperlink r:id="rId1836" ref="C1637"/>
    <hyperlink r:id="rId1837" ref="C1638"/>
    <hyperlink r:id="rId1838" ref="C1639"/>
    <hyperlink r:id="rId1839" ref="C1640"/>
    <hyperlink r:id="rId1840" ref="C1641"/>
    <hyperlink r:id="rId1841" ref="C1642"/>
    <hyperlink r:id="rId1842" ref="C1643"/>
    <hyperlink r:id="rId1843" ref="C1644"/>
    <hyperlink r:id="rId1844" ref="C1645"/>
    <hyperlink r:id="rId1845" ref="C1646"/>
    <hyperlink r:id="rId1846" ref="C1647"/>
    <hyperlink r:id="rId1847" ref="C1648"/>
    <hyperlink r:id="rId1848" ref="C1649"/>
    <hyperlink r:id="rId1849" ref="C1650"/>
    <hyperlink r:id="rId1850" ref="C1651"/>
    <hyperlink r:id="rId1851" ref="C1652"/>
    <hyperlink r:id="rId1852" ref="C1653"/>
    <hyperlink r:id="rId1853" ref="C1654"/>
    <hyperlink r:id="rId1854" ref="C1655"/>
    <hyperlink r:id="rId1855" ref="C1657"/>
    <hyperlink r:id="rId1856" ref="G1657"/>
    <hyperlink r:id="rId1857" ref="C1658"/>
    <hyperlink r:id="rId1858" ref="G1658"/>
    <hyperlink r:id="rId1859" ref="C1659"/>
    <hyperlink r:id="rId1860" ref="G1659"/>
    <hyperlink r:id="rId1861" ref="C1660"/>
    <hyperlink r:id="rId1862" ref="G1660"/>
    <hyperlink r:id="rId1863" ref="C1661"/>
    <hyperlink r:id="rId1864" ref="G1661"/>
    <hyperlink r:id="rId1865" ref="C1662"/>
    <hyperlink r:id="rId1866" ref="G1662"/>
    <hyperlink r:id="rId1867" ref="C1663"/>
    <hyperlink r:id="rId1868" ref="G1663"/>
    <hyperlink r:id="rId1869" ref="C1664"/>
    <hyperlink r:id="rId1870" ref="G1664"/>
    <hyperlink r:id="rId1871" ref="C1665"/>
    <hyperlink r:id="rId1872" ref="G1665"/>
    <hyperlink r:id="rId1873" ref="C1666"/>
    <hyperlink r:id="rId1874" ref="C1667"/>
    <hyperlink r:id="rId1875" ref="C1668"/>
    <hyperlink r:id="rId1876" ref="C1669"/>
    <hyperlink r:id="rId1877" ref="C1670"/>
    <hyperlink r:id="rId1878" ref="C1671"/>
    <hyperlink r:id="rId1879" ref="C1672"/>
    <hyperlink r:id="rId1880" ref="C1673"/>
    <hyperlink r:id="rId1881" ref="C1674"/>
    <hyperlink r:id="rId1882" ref="C1675"/>
    <hyperlink r:id="rId1883" ref="C1676"/>
    <hyperlink r:id="rId1884" ref="C1677"/>
    <hyperlink r:id="rId1885" ref="C1678"/>
    <hyperlink r:id="rId1886" ref="C1679"/>
    <hyperlink r:id="rId1887" ref="C1680"/>
    <hyperlink r:id="rId1888" ref="C1681"/>
    <hyperlink r:id="rId1889" ref="C1682"/>
    <hyperlink r:id="rId1890" ref="C1683"/>
    <hyperlink r:id="rId1891" ref="C1684"/>
    <hyperlink r:id="rId1892" ref="C1685"/>
    <hyperlink r:id="rId1893" ref="C1686"/>
    <hyperlink r:id="rId1894" ref="C1687"/>
    <hyperlink r:id="rId1895" ref="C1688"/>
    <hyperlink r:id="rId1896" ref="C1689"/>
    <hyperlink r:id="rId1897" ref="C1690"/>
    <hyperlink r:id="rId1898" ref="C1691"/>
    <hyperlink r:id="rId1899" ref="C1692"/>
    <hyperlink r:id="rId1900" ref="C1693"/>
    <hyperlink r:id="rId1901" ref="C1694"/>
    <hyperlink r:id="rId1902" ref="C1695"/>
    <hyperlink r:id="rId1903" ref="C1696"/>
    <hyperlink r:id="rId1904" ref="C1697"/>
    <hyperlink r:id="rId1905" ref="C1698"/>
    <hyperlink r:id="rId1906" ref="C1699"/>
    <hyperlink r:id="rId1907" ref="C1700"/>
    <hyperlink r:id="rId1908" ref="C1701"/>
    <hyperlink r:id="rId1909" ref="C1702"/>
    <hyperlink r:id="rId1910" ref="C1703"/>
    <hyperlink r:id="rId1911" ref="C1704"/>
    <hyperlink r:id="rId1912" ref="C1705"/>
    <hyperlink r:id="rId1913" ref="C1706"/>
    <hyperlink r:id="rId1914" ref="C1707"/>
    <hyperlink r:id="rId1915" ref="C1708"/>
    <hyperlink r:id="rId1916" ref="C1709"/>
    <hyperlink r:id="rId1917" ref="C1710"/>
    <hyperlink r:id="rId1918" ref="C1711"/>
    <hyperlink r:id="rId1919" ref="C1712"/>
    <hyperlink r:id="rId1920" ref="C1713"/>
    <hyperlink r:id="rId1921" ref="C1714"/>
    <hyperlink r:id="rId1922" ref="C1715"/>
    <hyperlink r:id="rId1923" ref="C1716"/>
    <hyperlink r:id="rId1924" ref="C1717"/>
    <hyperlink r:id="rId1925" ref="C1718"/>
    <hyperlink r:id="rId1926" ref="C1719"/>
    <hyperlink r:id="rId1927" ref="C1720"/>
    <hyperlink r:id="rId1928" ref="C1721"/>
    <hyperlink r:id="rId1929" ref="C1722"/>
    <hyperlink r:id="rId1930" ref="C1723"/>
    <hyperlink r:id="rId1931" ref="C1724"/>
    <hyperlink r:id="rId1932" ref="C1725"/>
    <hyperlink r:id="rId1933" ref="C1726"/>
    <hyperlink r:id="rId1934" ref="C1727"/>
    <hyperlink r:id="rId1935" ref="C1728"/>
    <hyperlink r:id="rId1936" ref="C1729"/>
    <hyperlink r:id="rId1937" ref="C1730"/>
    <hyperlink r:id="rId1938" ref="C1731"/>
    <hyperlink r:id="rId1939" ref="C1732"/>
    <hyperlink r:id="rId1940" ref="C1733"/>
    <hyperlink r:id="rId1941" ref="C1734"/>
    <hyperlink r:id="rId1942" ref="C1735"/>
    <hyperlink r:id="rId1943" ref="C1736"/>
    <hyperlink r:id="rId1944" ref="C1737"/>
    <hyperlink r:id="rId1945" ref="C1738"/>
    <hyperlink r:id="rId1946" ref="C1739"/>
    <hyperlink r:id="rId1947" ref="C1740"/>
    <hyperlink r:id="rId1948" ref="C1741"/>
    <hyperlink r:id="rId1949" ref="C1742"/>
    <hyperlink r:id="rId1950" ref="C1743"/>
    <hyperlink r:id="rId1951" ref="C1744"/>
    <hyperlink r:id="rId1952" ref="C1745"/>
    <hyperlink r:id="rId1953" ref="C1746"/>
    <hyperlink r:id="rId1954" ref="C1747"/>
    <hyperlink r:id="rId1955" ref="C1748"/>
    <hyperlink r:id="rId1956" ref="C1749"/>
    <hyperlink r:id="rId1957" ref="C1750"/>
    <hyperlink r:id="rId1958" ref="C1751"/>
    <hyperlink r:id="rId1959" ref="C1752"/>
    <hyperlink r:id="rId1960" ref="C1753"/>
    <hyperlink r:id="rId1961" ref="C1754"/>
    <hyperlink r:id="rId1962" ref="C1755"/>
    <hyperlink r:id="rId1963" ref="C1756"/>
    <hyperlink r:id="rId1964" ref="C1757"/>
    <hyperlink r:id="rId1965" ref="C1759"/>
    <hyperlink r:id="rId1966" ref="G1759"/>
    <hyperlink r:id="rId1967" ref="C1760"/>
    <hyperlink r:id="rId1968" ref="G1760"/>
    <hyperlink r:id="rId1969" ref="C1761"/>
    <hyperlink r:id="rId1970" ref="G1761"/>
    <hyperlink r:id="rId1971" ref="C1762"/>
    <hyperlink r:id="rId1972" ref="G1762"/>
    <hyperlink r:id="rId1973" ref="C1763"/>
    <hyperlink r:id="rId1974" ref="G1763"/>
    <hyperlink r:id="rId1975" ref="C1764"/>
    <hyperlink r:id="rId1976" ref="G1764"/>
    <hyperlink r:id="rId1977" ref="C1765"/>
    <hyperlink r:id="rId1978" ref="G1765"/>
    <hyperlink r:id="rId1979" ref="C1766"/>
    <hyperlink r:id="rId1980" ref="G1766"/>
    <hyperlink r:id="rId1981" ref="C1767"/>
    <hyperlink r:id="rId1982" ref="G1767"/>
    <hyperlink r:id="rId1983" ref="C1768"/>
    <hyperlink r:id="rId1984" ref="G1768"/>
    <hyperlink r:id="rId1985" ref="C1769"/>
    <hyperlink r:id="rId1986" ref="C1770"/>
    <hyperlink r:id="rId1987" ref="C1771"/>
    <hyperlink r:id="rId1988" ref="C1772"/>
    <hyperlink r:id="rId1989" ref="C1773"/>
    <hyperlink r:id="rId1990" ref="C1774"/>
    <hyperlink r:id="rId1991" ref="C1775"/>
    <hyperlink r:id="rId1992" ref="C1776"/>
    <hyperlink r:id="rId1993" ref="C1777"/>
    <hyperlink r:id="rId1994" ref="C1778"/>
    <hyperlink r:id="rId1995" ref="C1779"/>
    <hyperlink r:id="rId1996" ref="C1780"/>
    <hyperlink r:id="rId1997" ref="C1781"/>
    <hyperlink r:id="rId1998" ref="C1782"/>
    <hyperlink r:id="rId1999" ref="C1783"/>
    <hyperlink r:id="rId2000" ref="C1784"/>
    <hyperlink r:id="rId2001" ref="C1785"/>
    <hyperlink r:id="rId2002" ref="C1786"/>
    <hyperlink r:id="rId2003" ref="C1787"/>
    <hyperlink r:id="rId2004" ref="C1788"/>
    <hyperlink r:id="rId2005" ref="C1789"/>
    <hyperlink r:id="rId2006" ref="C1790"/>
    <hyperlink r:id="rId2007" ref="C1791"/>
    <hyperlink r:id="rId2008" ref="C1792"/>
    <hyperlink r:id="rId2009" ref="C1793"/>
    <hyperlink r:id="rId2010" ref="C1794"/>
    <hyperlink r:id="rId2011" ref="C1795"/>
    <hyperlink r:id="rId2012" ref="C1796"/>
    <hyperlink r:id="rId2013" ref="C1797"/>
    <hyperlink r:id="rId2014" ref="C1798"/>
    <hyperlink r:id="rId2015" ref="C1799"/>
    <hyperlink r:id="rId2016" ref="C1800"/>
    <hyperlink r:id="rId2017" ref="C1801"/>
    <hyperlink r:id="rId2018" ref="C1802"/>
    <hyperlink r:id="rId2019" ref="C1803"/>
    <hyperlink r:id="rId2020" ref="C1804"/>
    <hyperlink r:id="rId2021" ref="C1805"/>
    <hyperlink r:id="rId2022" ref="C1806"/>
    <hyperlink r:id="rId2023" ref="C1807"/>
    <hyperlink r:id="rId2024" ref="C1808"/>
    <hyperlink r:id="rId2025" ref="C1809"/>
    <hyperlink r:id="rId2026" ref="C1810"/>
    <hyperlink r:id="rId2027" ref="C1811"/>
    <hyperlink r:id="rId2028" ref="C1812"/>
    <hyperlink r:id="rId2029" ref="C1813"/>
    <hyperlink r:id="rId2030" ref="C1814"/>
    <hyperlink r:id="rId2031" ref="C1815"/>
    <hyperlink r:id="rId2032" ref="C1816"/>
    <hyperlink r:id="rId2033" ref="C1817"/>
    <hyperlink r:id="rId2034" ref="C1818"/>
    <hyperlink r:id="rId2035" ref="C1819"/>
    <hyperlink r:id="rId2036" ref="C1820"/>
    <hyperlink r:id="rId2037" ref="C1821"/>
    <hyperlink r:id="rId2038" ref="C1822"/>
    <hyperlink r:id="rId2039" ref="C1823"/>
    <hyperlink r:id="rId2040" ref="C1824"/>
    <hyperlink r:id="rId2041" ref="C1825"/>
    <hyperlink r:id="rId2042" ref="C1826"/>
    <hyperlink r:id="rId2043" ref="C1827"/>
    <hyperlink r:id="rId2044" ref="C1828"/>
    <hyperlink r:id="rId2045" ref="C1829"/>
    <hyperlink r:id="rId2046" ref="C1830"/>
    <hyperlink r:id="rId2047" ref="C1831"/>
    <hyperlink r:id="rId2048" ref="C1832"/>
    <hyperlink r:id="rId2049" ref="C1833"/>
    <hyperlink r:id="rId2050" ref="C1834"/>
    <hyperlink r:id="rId2051" ref="C1835"/>
    <hyperlink r:id="rId2052" ref="C1836"/>
    <hyperlink r:id="rId2053" ref="C1837"/>
    <hyperlink r:id="rId2054" ref="C1838"/>
    <hyperlink r:id="rId2055" ref="C1839"/>
    <hyperlink r:id="rId2056" ref="C1840"/>
    <hyperlink r:id="rId2057" ref="C1842"/>
    <hyperlink r:id="rId2058" ref="G1842"/>
    <hyperlink r:id="rId2059" ref="C1843"/>
    <hyperlink r:id="rId2060" ref="G1843"/>
    <hyperlink r:id="rId2061" ref="C1844"/>
    <hyperlink r:id="rId2062" ref="G1844"/>
    <hyperlink r:id="rId2063" ref="C1845"/>
    <hyperlink r:id="rId2064" ref="G1845"/>
    <hyperlink r:id="rId2065" ref="C1846"/>
    <hyperlink r:id="rId2066" ref="G1846"/>
    <hyperlink r:id="rId2067" ref="C1847"/>
    <hyperlink r:id="rId2068" ref="G1847"/>
    <hyperlink r:id="rId2069" ref="C1848"/>
    <hyperlink r:id="rId2070" ref="G1848"/>
    <hyperlink r:id="rId2071" ref="C1849"/>
    <hyperlink r:id="rId2072" ref="G1849"/>
    <hyperlink r:id="rId2073" ref="C1850"/>
    <hyperlink r:id="rId2074" ref="C1851"/>
    <hyperlink r:id="rId2075" ref="C1852"/>
    <hyperlink r:id="rId2076" ref="C1853"/>
    <hyperlink r:id="rId2077" ref="C1854"/>
    <hyperlink r:id="rId2078" ref="C1855"/>
    <hyperlink r:id="rId2079" ref="C1856"/>
    <hyperlink r:id="rId2080" ref="C1857"/>
    <hyperlink r:id="rId2081" ref="C1858"/>
    <hyperlink r:id="rId2082" ref="C1859"/>
    <hyperlink r:id="rId2083" ref="C1860"/>
    <hyperlink r:id="rId2084" ref="C1861"/>
    <hyperlink r:id="rId2085" ref="C1862"/>
    <hyperlink r:id="rId2086" ref="C1863"/>
    <hyperlink r:id="rId2087" ref="C1864"/>
    <hyperlink r:id="rId2088" ref="C1865"/>
    <hyperlink r:id="rId2089" ref="C1866"/>
    <hyperlink r:id="rId2090" ref="C1867"/>
    <hyperlink r:id="rId2091" ref="C1868"/>
    <hyperlink r:id="rId2092" ref="C1869"/>
    <hyperlink r:id="rId2093" ref="C1870"/>
    <hyperlink r:id="rId2094" ref="C1871"/>
    <hyperlink r:id="rId2095" ref="C1872"/>
    <hyperlink r:id="rId2096" ref="C1873"/>
    <hyperlink r:id="rId2097" ref="C1874"/>
    <hyperlink r:id="rId2098" ref="C1875"/>
    <hyperlink r:id="rId2099" ref="C1876"/>
    <hyperlink r:id="rId2100" ref="C1877"/>
    <hyperlink r:id="rId2101" ref="C1878"/>
    <hyperlink r:id="rId2102" ref="C1879"/>
    <hyperlink r:id="rId2103" ref="C1880"/>
    <hyperlink r:id="rId2104" ref="C1881"/>
    <hyperlink r:id="rId2105" ref="C1882"/>
    <hyperlink r:id="rId2106" ref="C1883"/>
    <hyperlink r:id="rId2107" ref="C1884"/>
    <hyperlink r:id="rId2108" ref="C1885"/>
    <hyperlink r:id="rId2109" ref="C1886"/>
    <hyperlink r:id="rId2110" ref="C1887"/>
    <hyperlink r:id="rId2111" ref="C1888"/>
    <hyperlink r:id="rId2112" ref="C1889"/>
    <hyperlink r:id="rId2113" ref="C1890"/>
    <hyperlink r:id="rId2114" ref="C1891"/>
    <hyperlink r:id="rId2115" ref="C1892"/>
    <hyperlink r:id="rId2116" ref="C1893"/>
    <hyperlink r:id="rId2117" ref="C1894"/>
    <hyperlink r:id="rId2118" ref="C1895"/>
    <hyperlink r:id="rId2119" ref="C1896"/>
    <hyperlink r:id="rId2120" ref="C1897"/>
    <hyperlink r:id="rId2121" ref="C1898"/>
    <hyperlink r:id="rId2122" ref="C1899"/>
    <hyperlink r:id="rId2123" ref="C1900"/>
    <hyperlink r:id="rId2124" ref="C1901"/>
    <hyperlink r:id="rId2125" ref="C1902"/>
    <hyperlink r:id="rId2126" ref="C1904"/>
    <hyperlink r:id="rId2127" ref="G1904"/>
    <hyperlink r:id="rId2128" ref="C1905"/>
    <hyperlink r:id="rId2129" ref="G1905"/>
    <hyperlink r:id="rId2130" ref="C1906"/>
    <hyperlink r:id="rId2131" ref="G1906"/>
    <hyperlink r:id="rId2132" ref="C1907"/>
    <hyperlink r:id="rId2133" ref="G1907"/>
    <hyperlink r:id="rId2134" ref="C1908"/>
    <hyperlink r:id="rId2135" ref="G1908"/>
    <hyperlink r:id="rId2136" ref="C1909"/>
    <hyperlink r:id="rId2137" ref="G1909"/>
    <hyperlink r:id="rId2138" ref="C1910"/>
    <hyperlink r:id="rId2139" ref="G1910"/>
    <hyperlink r:id="rId2140" ref="C1911"/>
    <hyperlink r:id="rId2141" ref="C1912"/>
    <hyperlink r:id="rId2142" ref="C1913"/>
    <hyperlink r:id="rId2143" ref="C1914"/>
    <hyperlink r:id="rId2144" ref="C1915"/>
    <hyperlink r:id="rId2145" ref="C1916"/>
    <hyperlink r:id="rId2146" ref="C1917"/>
    <hyperlink r:id="rId2147" ref="C1918"/>
    <hyperlink r:id="rId2148" ref="C1919"/>
    <hyperlink r:id="rId2149" ref="C1920"/>
    <hyperlink r:id="rId2150" ref="C1921"/>
    <hyperlink r:id="rId2151" ref="C1922"/>
    <hyperlink r:id="rId2152" ref="C1923"/>
    <hyperlink r:id="rId2153" ref="C1924"/>
    <hyperlink r:id="rId2154" ref="C1925"/>
    <hyperlink r:id="rId2155" ref="C1926"/>
    <hyperlink r:id="rId2156" ref="C1927"/>
    <hyperlink r:id="rId2157" ref="C1928"/>
    <hyperlink r:id="rId2158" ref="C1929"/>
    <hyperlink r:id="rId2159" ref="C1930"/>
    <hyperlink r:id="rId2160" ref="C1931"/>
    <hyperlink r:id="rId2161" ref="C1932"/>
    <hyperlink r:id="rId2162" ref="C1933"/>
    <hyperlink r:id="rId2163" ref="C1934"/>
    <hyperlink r:id="rId2164" ref="C1935"/>
    <hyperlink r:id="rId2165" ref="C1936"/>
    <hyperlink r:id="rId2166" ref="C1937"/>
    <hyperlink r:id="rId2167" ref="C1938"/>
    <hyperlink r:id="rId2168" ref="C1939"/>
    <hyperlink r:id="rId2169" ref="C1940"/>
    <hyperlink r:id="rId2170" ref="C1941"/>
    <hyperlink r:id="rId2171" ref="C1943"/>
    <hyperlink r:id="rId2172" ref="G1943"/>
    <hyperlink r:id="rId2173" ref="C1944"/>
    <hyperlink r:id="rId2174" ref="G1944"/>
    <hyperlink r:id="rId2175" ref="C1945"/>
    <hyperlink r:id="rId2176" ref="G1945"/>
    <hyperlink r:id="rId2177" ref="C1946"/>
    <hyperlink r:id="rId2178" ref="G1946"/>
    <hyperlink r:id="rId2179" ref="C1947"/>
    <hyperlink r:id="rId2180" ref="G1947"/>
    <hyperlink r:id="rId2181" ref="C1948"/>
    <hyperlink r:id="rId2182" ref="G1948"/>
    <hyperlink r:id="rId2183" ref="C1949"/>
    <hyperlink r:id="rId2184" ref="G1949"/>
    <hyperlink r:id="rId2185" ref="C1950"/>
    <hyperlink r:id="rId2186" ref="G1950"/>
    <hyperlink r:id="rId2187" ref="C1951"/>
    <hyperlink r:id="rId2188" ref="G1951"/>
    <hyperlink r:id="rId2189" ref="C1952"/>
    <hyperlink r:id="rId2190" ref="G1952"/>
    <hyperlink r:id="rId2191" ref="C1953"/>
    <hyperlink r:id="rId2192" ref="G1953"/>
    <hyperlink r:id="rId2193" ref="C1954"/>
    <hyperlink r:id="rId2194" ref="G1954"/>
    <hyperlink r:id="rId2195" ref="C1955"/>
    <hyperlink r:id="rId2196" ref="C1956"/>
    <hyperlink r:id="rId2197" ref="C1957"/>
    <hyperlink r:id="rId2198" ref="C1958"/>
    <hyperlink r:id="rId2199" ref="C1959"/>
    <hyperlink r:id="rId2200" ref="C1960"/>
    <hyperlink r:id="rId2201" ref="C1961"/>
    <hyperlink r:id="rId2202" ref="C1962"/>
    <hyperlink r:id="rId2203" ref="C1963"/>
    <hyperlink r:id="rId2204" ref="C1964"/>
    <hyperlink r:id="rId2205" ref="C1965"/>
    <hyperlink r:id="rId2206" ref="C1966"/>
    <hyperlink r:id="rId2207" ref="C1967"/>
    <hyperlink r:id="rId2208" ref="C1968"/>
    <hyperlink r:id="rId2209" ref="C1969"/>
    <hyperlink r:id="rId2210" ref="C1970"/>
    <hyperlink r:id="rId2211" ref="C1971"/>
    <hyperlink r:id="rId2212" ref="C1972"/>
    <hyperlink r:id="rId2213" ref="C1973"/>
    <hyperlink r:id="rId2214" ref="C1974"/>
    <hyperlink r:id="rId2215" ref="C1975"/>
    <hyperlink r:id="rId2216" ref="C1976"/>
    <hyperlink r:id="rId2217" ref="C1977"/>
    <hyperlink r:id="rId2218" ref="C1978"/>
    <hyperlink r:id="rId2219" ref="C1979"/>
    <hyperlink r:id="rId2220" ref="C1980"/>
    <hyperlink r:id="rId2221" ref="C1981"/>
    <hyperlink r:id="rId2222" ref="C1982"/>
    <hyperlink r:id="rId2223" ref="C1983"/>
    <hyperlink r:id="rId2224" ref="C1984"/>
    <hyperlink r:id="rId2225" ref="C1985"/>
    <hyperlink r:id="rId2226" ref="C1986"/>
    <hyperlink r:id="rId2227" ref="C1987"/>
    <hyperlink r:id="rId2228" ref="C1988"/>
    <hyperlink r:id="rId2229" ref="C1989"/>
    <hyperlink r:id="rId2230" ref="C1990"/>
    <hyperlink r:id="rId2231" ref="C1991"/>
    <hyperlink r:id="rId2232" ref="C1992"/>
    <hyperlink r:id="rId2233" ref="C1993"/>
    <hyperlink r:id="rId2234" ref="C1994"/>
    <hyperlink r:id="rId2235" ref="C1995"/>
    <hyperlink r:id="rId2236" ref="C1996"/>
    <hyperlink r:id="rId2237" ref="C1997"/>
    <hyperlink r:id="rId2238" ref="C1998"/>
    <hyperlink r:id="rId2239" ref="C1999"/>
    <hyperlink r:id="rId2240" ref="C2000"/>
    <hyperlink r:id="rId2241" ref="C2001"/>
    <hyperlink r:id="rId2242" ref="C2002"/>
    <hyperlink r:id="rId2243" ref="C2003"/>
    <hyperlink r:id="rId2244" ref="C2004"/>
    <hyperlink r:id="rId2245" ref="C2005"/>
    <hyperlink r:id="rId2246" ref="C2006"/>
    <hyperlink r:id="rId2247" ref="C2007"/>
    <hyperlink r:id="rId2248" ref="C2008"/>
    <hyperlink r:id="rId2249" ref="C2009"/>
    <hyperlink r:id="rId2250" ref="C2010"/>
    <hyperlink r:id="rId2251" ref="C2011"/>
    <hyperlink r:id="rId2252" ref="C2012"/>
    <hyperlink r:id="rId2253" ref="C2013"/>
    <hyperlink r:id="rId2254" ref="C2014"/>
    <hyperlink r:id="rId2255" ref="C2015"/>
    <hyperlink r:id="rId2256" ref="C2016"/>
    <hyperlink r:id="rId2257" ref="C2017"/>
    <hyperlink r:id="rId2258" ref="C2018"/>
    <hyperlink r:id="rId2259" ref="C2019"/>
    <hyperlink r:id="rId2260" ref="C2020"/>
    <hyperlink r:id="rId2261" ref="C2021"/>
    <hyperlink r:id="rId2262" ref="C2022"/>
    <hyperlink r:id="rId2263" ref="C2023"/>
    <hyperlink r:id="rId2264" ref="C2024"/>
    <hyperlink r:id="rId2265" ref="C2025"/>
    <hyperlink r:id="rId2266" ref="C2026"/>
    <hyperlink r:id="rId2267" ref="C2027"/>
    <hyperlink r:id="rId2268" ref="C2028"/>
    <hyperlink r:id="rId2269" ref="C2029"/>
    <hyperlink r:id="rId2270" ref="C2030"/>
    <hyperlink r:id="rId2271" ref="C2031"/>
    <hyperlink r:id="rId2272" ref="C2032"/>
    <hyperlink r:id="rId2273" ref="C2033"/>
    <hyperlink r:id="rId2274" ref="C2034"/>
    <hyperlink r:id="rId2275" ref="C2035"/>
    <hyperlink r:id="rId2276" ref="C2036"/>
    <hyperlink r:id="rId2277" ref="C2037"/>
    <hyperlink r:id="rId2278" ref="C2038"/>
    <hyperlink r:id="rId2279" ref="C2039"/>
    <hyperlink r:id="rId2280" ref="C2040"/>
    <hyperlink r:id="rId2281" ref="C2041"/>
    <hyperlink r:id="rId2282" ref="C2042"/>
    <hyperlink r:id="rId2283" ref="C2043"/>
    <hyperlink r:id="rId2284" ref="C2044"/>
    <hyperlink r:id="rId2285" ref="C2045"/>
    <hyperlink r:id="rId2286" ref="C2046"/>
    <hyperlink r:id="rId2287" ref="C2047"/>
    <hyperlink r:id="rId2288" ref="C2048"/>
    <hyperlink r:id="rId2289" ref="C2049"/>
    <hyperlink r:id="rId2290" ref="C2050"/>
    <hyperlink r:id="rId2291" ref="C2051"/>
    <hyperlink r:id="rId2292" ref="C2052"/>
    <hyperlink r:id="rId2293" ref="C2053"/>
    <hyperlink r:id="rId2294" ref="C2054"/>
    <hyperlink r:id="rId2295" ref="C2055"/>
    <hyperlink r:id="rId2296" ref="C2056"/>
    <hyperlink r:id="rId2297" ref="C2057"/>
    <hyperlink r:id="rId2298" ref="C2058"/>
    <hyperlink r:id="rId2299" ref="C2059"/>
    <hyperlink r:id="rId2300" ref="C2060"/>
    <hyperlink r:id="rId2301" ref="C2062"/>
    <hyperlink r:id="rId2302" ref="G2062"/>
    <hyperlink r:id="rId2303" ref="C2063"/>
    <hyperlink r:id="rId2304" ref="G2063"/>
    <hyperlink r:id="rId2305" ref="C2064"/>
    <hyperlink r:id="rId2306" ref="C2065"/>
    <hyperlink r:id="rId2307" ref="C2066"/>
    <hyperlink r:id="rId2308" ref="C2067"/>
    <hyperlink r:id="rId2309" ref="C2068"/>
    <hyperlink r:id="rId2310" ref="C2069"/>
    <hyperlink r:id="rId2311" ref="C2070"/>
    <hyperlink r:id="rId2312" ref="C2071"/>
    <hyperlink r:id="rId2313" ref="C2072"/>
    <hyperlink r:id="rId2314" ref="C2073"/>
    <hyperlink r:id="rId2315" ref="C2074"/>
    <hyperlink r:id="rId2316" ref="C2075"/>
    <hyperlink r:id="rId2317" ref="C2076"/>
    <hyperlink r:id="rId2318" ref="C2077"/>
    <hyperlink r:id="rId2319" ref="C2078"/>
    <hyperlink r:id="rId2320" ref="C2079"/>
    <hyperlink r:id="rId2321" ref="C2080"/>
    <hyperlink r:id="rId2322" ref="C2081"/>
    <hyperlink r:id="rId2323" ref="C2082"/>
    <hyperlink r:id="rId2324" ref="C2083"/>
    <hyperlink r:id="rId2325" ref="C2084"/>
    <hyperlink r:id="rId2326" ref="C2085"/>
    <hyperlink r:id="rId2327" ref="C2086"/>
    <hyperlink r:id="rId2328" ref="C2087"/>
    <hyperlink r:id="rId2329" ref="C2088"/>
    <hyperlink r:id="rId2330" ref="C2090"/>
    <hyperlink r:id="rId2331" ref="G2090"/>
    <hyperlink r:id="rId2332" ref="C2091"/>
    <hyperlink r:id="rId2333" ref="G2091"/>
    <hyperlink r:id="rId2334" ref="C2092"/>
    <hyperlink r:id="rId2335" ref="G2092"/>
    <hyperlink r:id="rId2336" ref="C2093"/>
    <hyperlink r:id="rId2337" ref="G2093"/>
    <hyperlink r:id="rId2338" ref="C2094"/>
    <hyperlink r:id="rId2339" ref="G2094"/>
    <hyperlink r:id="rId2340" ref="C2095"/>
    <hyperlink r:id="rId2341" ref="G2095"/>
    <hyperlink r:id="rId2342" ref="C2096"/>
    <hyperlink r:id="rId2343" ref="C2097"/>
    <hyperlink r:id="rId2344" ref="C2098"/>
    <hyperlink r:id="rId2345" ref="C2099"/>
    <hyperlink r:id="rId2346" ref="C2100"/>
    <hyperlink r:id="rId2347" ref="C2101"/>
    <hyperlink r:id="rId2348" ref="C2102"/>
    <hyperlink r:id="rId2349" ref="C2103"/>
    <hyperlink r:id="rId2350" ref="C2104"/>
    <hyperlink r:id="rId2351" ref="C2105"/>
    <hyperlink r:id="rId2352" ref="C2106"/>
    <hyperlink r:id="rId2353" ref="C2107"/>
    <hyperlink r:id="rId2354" ref="C2108"/>
    <hyperlink r:id="rId2355" ref="C2109"/>
    <hyperlink r:id="rId2356" ref="C2110"/>
    <hyperlink r:id="rId2357" ref="C2111"/>
    <hyperlink r:id="rId2358" ref="C2112"/>
    <hyperlink r:id="rId2359" ref="C2113"/>
    <hyperlink r:id="rId2360" ref="C2114"/>
    <hyperlink r:id="rId2361" ref="C2115"/>
    <hyperlink r:id="rId2362" ref="C2116"/>
    <hyperlink r:id="rId2363" ref="C2117"/>
    <hyperlink r:id="rId2364" ref="C2118"/>
    <hyperlink r:id="rId2365" ref="C2119"/>
    <hyperlink r:id="rId2366" ref="C2120"/>
    <hyperlink r:id="rId2367" ref="C2121"/>
    <hyperlink r:id="rId2368" ref="C2122"/>
    <hyperlink r:id="rId2369" ref="C2123"/>
    <hyperlink r:id="rId2370" ref="C2124"/>
    <hyperlink r:id="rId2371" ref="C2125"/>
    <hyperlink r:id="rId2372" ref="C2126"/>
    <hyperlink r:id="rId2373" ref="C2127"/>
    <hyperlink r:id="rId2374" ref="C2128"/>
    <hyperlink r:id="rId2375" ref="C2129"/>
    <hyperlink r:id="rId2376" ref="C2130"/>
    <hyperlink r:id="rId2377" ref="C2131"/>
    <hyperlink r:id="rId2378" ref="C2132"/>
    <hyperlink r:id="rId2379" ref="C2133"/>
    <hyperlink r:id="rId2380" ref="C2134"/>
    <hyperlink r:id="rId2381" ref="C2135"/>
    <hyperlink r:id="rId2382" ref="C2136"/>
    <hyperlink r:id="rId2383" ref="C2137"/>
    <hyperlink r:id="rId2384" ref="C2138"/>
    <hyperlink r:id="rId2385" ref="C2139"/>
    <hyperlink r:id="rId2386" ref="C2140"/>
    <hyperlink r:id="rId2387" ref="C2141"/>
    <hyperlink r:id="rId2388" ref="C2142"/>
    <hyperlink r:id="rId2389" ref="C2143"/>
    <hyperlink r:id="rId2390" ref="C2144"/>
    <hyperlink r:id="rId2391" ref="C2145"/>
    <hyperlink r:id="rId2392" ref="C2146"/>
    <hyperlink r:id="rId2393" ref="C2147"/>
    <hyperlink r:id="rId2394" ref="C2148"/>
    <hyperlink r:id="rId2395" ref="C2149"/>
    <hyperlink r:id="rId2396" ref="C2150"/>
    <hyperlink r:id="rId2397" ref="C2151"/>
    <hyperlink r:id="rId2398" ref="C2152"/>
    <hyperlink r:id="rId2399" ref="C2153"/>
    <hyperlink r:id="rId2400" ref="C2154"/>
    <hyperlink r:id="rId2401" ref="C2155"/>
    <hyperlink r:id="rId2402" ref="C2156"/>
    <hyperlink r:id="rId2403" ref="C2157"/>
    <hyperlink r:id="rId2404" ref="C2158"/>
    <hyperlink r:id="rId2405" ref="C2159"/>
    <hyperlink r:id="rId2406" ref="C2160"/>
    <hyperlink r:id="rId2407" ref="C2161"/>
    <hyperlink r:id="rId2408" ref="C2162"/>
    <hyperlink r:id="rId2409" ref="C2163"/>
    <hyperlink r:id="rId2410" ref="C2164"/>
    <hyperlink r:id="rId2411" ref="C2165"/>
    <hyperlink r:id="rId2412" ref="C2166"/>
    <hyperlink r:id="rId2413" ref="C2167"/>
    <hyperlink r:id="rId2414" ref="C2168"/>
    <hyperlink r:id="rId2415" ref="C2169"/>
    <hyperlink r:id="rId2416" ref="C2170"/>
    <hyperlink r:id="rId2417" ref="C2171"/>
    <hyperlink r:id="rId2418" ref="C2172"/>
    <hyperlink r:id="rId2419" ref="C2173"/>
    <hyperlink r:id="rId2420" ref="C2174"/>
    <hyperlink r:id="rId2421" ref="C2175"/>
    <hyperlink r:id="rId2422" ref="C2176"/>
    <hyperlink r:id="rId2423" ref="C2177"/>
    <hyperlink r:id="rId2424" ref="C2178"/>
    <hyperlink r:id="rId2425" ref="C2179"/>
    <hyperlink r:id="rId2426" ref="C2180"/>
    <hyperlink r:id="rId2427" ref="C2181"/>
    <hyperlink r:id="rId2428" ref="C2182"/>
    <hyperlink r:id="rId2429" ref="C2183"/>
    <hyperlink r:id="rId2430" ref="C2184"/>
    <hyperlink r:id="rId2431" ref="C2185"/>
    <hyperlink r:id="rId2432" ref="C2186"/>
    <hyperlink r:id="rId2433" ref="C2187"/>
    <hyperlink r:id="rId2434" ref="C2188"/>
    <hyperlink r:id="rId2435" ref="C2189"/>
    <hyperlink r:id="rId2436" ref="C2190"/>
    <hyperlink r:id="rId2437" ref="C2191"/>
    <hyperlink r:id="rId2438" ref="C2192"/>
    <hyperlink r:id="rId2439" ref="C2193"/>
    <hyperlink r:id="rId2440" ref="C2194"/>
    <hyperlink r:id="rId2441" ref="C2195"/>
    <hyperlink r:id="rId2442" ref="C2196"/>
    <hyperlink r:id="rId2443" ref="C2197"/>
    <hyperlink r:id="rId2444" ref="C2198"/>
    <hyperlink r:id="rId2445" ref="C2199"/>
    <hyperlink r:id="rId2446" ref="C2200"/>
    <hyperlink r:id="rId2447" ref="C2201"/>
    <hyperlink r:id="rId2448" ref="C2202"/>
    <hyperlink r:id="rId2449" ref="C2203"/>
    <hyperlink r:id="rId2450" ref="C2204"/>
    <hyperlink r:id="rId2451" ref="C2205"/>
    <hyperlink r:id="rId2452" ref="C2206"/>
    <hyperlink r:id="rId2453" ref="C2207"/>
    <hyperlink r:id="rId2454" ref="C2208"/>
    <hyperlink r:id="rId2455" ref="C2209"/>
    <hyperlink r:id="rId2456" ref="C2210"/>
    <hyperlink r:id="rId2457" ref="C2211"/>
    <hyperlink r:id="rId2458" ref="C2212"/>
    <hyperlink r:id="rId2459" ref="C2213"/>
    <hyperlink r:id="rId2460" ref="C2214"/>
    <hyperlink r:id="rId2461" ref="C2215"/>
    <hyperlink r:id="rId2462" ref="C2216"/>
    <hyperlink r:id="rId2463" ref="C2217"/>
    <hyperlink r:id="rId2464" ref="C2218"/>
    <hyperlink r:id="rId2465" ref="C2219"/>
    <hyperlink r:id="rId2466" ref="C2220"/>
    <hyperlink r:id="rId2467" ref="C2221"/>
    <hyperlink r:id="rId2468" ref="C2222"/>
    <hyperlink r:id="rId2469" ref="C2223"/>
    <hyperlink r:id="rId2470" ref="C2224"/>
    <hyperlink r:id="rId2471" ref="C2226"/>
    <hyperlink r:id="rId2472" ref="G2226"/>
    <hyperlink r:id="rId2473" ref="C2227"/>
    <hyperlink r:id="rId2474" ref="G2227"/>
    <hyperlink r:id="rId2475" ref="C2228"/>
    <hyperlink r:id="rId2476" ref="G2228"/>
    <hyperlink r:id="rId2477" ref="C2229"/>
    <hyperlink r:id="rId2478" ref="G2229"/>
    <hyperlink r:id="rId2479" ref="C2230"/>
    <hyperlink r:id="rId2480" ref="G2230"/>
    <hyperlink r:id="rId2481" ref="C2231"/>
    <hyperlink r:id="rId2482" ref="G2231"/>
    <hyperlink r:id="rId2483" ref="C2232"/>
    <hyperlink r:id="rId2484" ref="G2232"/>
    <hyperlink r:id="rId2485" ref="C2233"/>
    <hyperlink r:id="rId2486" ref="G2233"/>
    <hyperlink r:id="rId2487" ref="C2234"/>
    <hyperlink r:id="rId2488" ref="G2234"/>
    <hyperlink r:id="rId2489" ref="C2235"/>
    <hyperlink r:id="rId2490" ref="G2235"/>
    <hyperlink r:id="rId2491" ref="C2236"/>
    <hyperlink r:id="rId2492" ref="G2236"/>
    <hyperlink r:id="rId2493" ref="C2237"/>
    <hyperlink r:id="rId2494" ref="G2237"/>
    <hyperlink r:id="rId2495" ref="C2238"/>
    <hyperlink r:id="rId2496" ref="G2238"/>
    <hyperlink r:id="rId2497" ref="C2239"/>
    <hyperlink r:id="rId2498" ref="C2240"/>
    <hyperlink r:id="rId2499" ref="C2241"/>
    <hyperlink r:id="rId2500" ref="C2242"/>
    <hyperlink r:id="rId2501" ref="C2243"/>
    <hyperlink r:id="rId2502" ref="C2244"/>
    <hyperlink r:id="rId2503" ref="C2245"/>
    <hyperlink r:id="rId2504" ref="C2246"/>
    <hyperlink r:id="rId2505" ref="C2247"/>
    <hyperlink r:id="rId2506" ref="C2248"/>
    <hyperlink r:id="rId2507" ref="C2249"/>
    <hyperlink r:id="rId2508" ref="C2250"/>
    <hyperlink r:id="rId2509" ref="C2251"/>
    <hyperlink r:id="rId2510" ref="C2252"/>
    <hyperlink r:id="rId2511" ref="C2253"/>
    <hyperlink r:id="rId2512" ref="C2254"/>
    <hyperlink r:id="rId2513" ref="C2255"/>
    <hyperlink r:id="rId2514" ref="C2256"/>
    <hyperlink r:id="rId2515" ref="C2257"/>
    <hyperlink r:id="rId2516" ref="C2258"/>
    <hyperlink r:id="rId2517" ref="C2259"/>
    <hyperlink r:id="rId2518" ref="C2260"/>
    <hyperlink r:id="rId2519" ref="C2261"/>
    <hyperlink r:id="rId2520" ref="C2262"/>
    <hyperlink r:id="rId2521" ref="C2263"/>
    <hyperlink r:id="rId2522" ref="C2264"/>
    <hyperlink r:id="rId2523" ref="C2265"/>
    <hyperlink r:id="rId2524" ref="C2266"/>
    <hyperlink r:id="rId2525" ref="C2267"/>
    <hyperlink r:id="rId2526" ref="C2268"/>
    <hyperlink r:id="rId2527" ref="C2269"/>
    <hyperlink r:id="rId2528" ref="C2270"/>
    <hyperlink r:id="rId2529" ref="C2271"/>
    <hyperlink r:id="rId2530" ref="C2272"/>
    <hyperlink r:id="rId2531" ref="C2273"/>
    <hyperlink r:id="rId2532" ref="C2274"/>
    <hyperlink r:id="rId2533" ref="C2275"/>
    <hyperlink r:id="rId2534" ref="C2276"/>
    <hyperlink r:id="rId2535" ref="C2277"/>
    <hyperlink r:id="rId2536" ref="C2278"/>
    <hyperlink r:id="rId2537" ref="C2279"/>
    <hyperlink r:id="rId2538" ref="C2280"/>
    <hyperlink r:id="rId2539" ref="C2281"/>
    <hyperlink r:id="rId2540" ref="C2282"/>
    <hyperlink r:id="rId2541" ref="C2283"/>
    <hyperlink r:id="rId2542" ref="C2284"/>
    <hyperlink r:id="rId2543" ref="C2285"/>
    <hyperlink r:id="rId2544" ref="C2286"/>
    <hyperlink r:id="rId2545" ref="C2287"/>
    <hyperlink r:id="rId2546" ref="C2288"/>
    <hyperlink r:id="rId2547" ref="C2289"/>
    <hyperlink r:id="rId2548" ref="C2290"/>
    <hyperlink r:id="rId2549" ref="C2291"/>
    <hyperlink r:id="rId2550" ref="C2292"/>
    <hyperlink r:id="rId2551" ref="C2293"/>
    <hyperlink r:id="rId2552" ref="C2294"/>
    <hyperlink r:id="rId2553" ref="C2295"/>
    <hyperlink r:id="rId2554" ref="C2296"/>
    <hyperlink r:id="rId2555" ref="C2297"/>
    <hyperlink r:id="rId2556" ref="C2298"/>
    <hyperlink r:id="rId2557" ref="C2299"/>
    <hyperlink r:id="rId2558" ref="C2300"/>
    <hyperlink r:id="rId2559" ref="C2301"/>
    <hyperlink r:id="rId2560" ref="C2302"/>
    <hyperlink r:id="rId2561" ref="C2303"/>
    <hyperlink r:id="rId2562" ref="C2304"/>
    <hyperlink r:id="rId2563" ref="C2305"/>
    <hyperlink r:id="rId2564" ref="C2306"/>
    <hyperlink r:id="rId2565" ref="C2307"/>
    <hyperlink r:id="rId2566" ref="C2308"/>
    <hyperlink r:id="rId2567" ref="C2309"/>
    <hyperlink r:id="rId2568" ref="C2310"/>
    <hyperlink r:id="rId2569" ref="C2311"/>
    <hyperlink r:id="rId2570" ref="C2312"/>
    <hyperlink r:id="rId2571" ref="C2313"/>
    <hyperlink r:id="rId2572" ref="C2314"/>
    <hyperlink r:id="rId2573" ref="C2315"/>
    <hyperlink r:id="rId2574" ref="C2316"/>
    <hyperlink r:id="rId2575" ref="C2317"/>
    <hyperlink r:id="rId2576" ref="C2318"/>
    <hyperlink r:id="rId2577" ref="C2319"/>
    <hyperlink r:id="rId2578" ref="C2320"/>
    <hyperlink r:id="rId2579" ref="C2321"/>
    <hyperlink r:id="rId2580" ref="C2322"/>
    <hyperlink r:id="rId2581" ref="C2323"/>
    <hyperlink r:id="rId2582" ref="C2324"/>
    <hyperlink r:id="rId2583" ref="C2325"/>
    <hyperlink r:id="rId2584" ref="C2326"/>
    <hyperlink r:id="rId2585" ref="C2327"/>
    <hyperlink r:id="rId2586" ref="C2328"/>
    <hyperlink r:id="rId2587" ref="C2329"/>
    <hyperlink r:id="rId2588" ref="C2330"/>
    <hyperlink r:id="rId2589" ref="C2331"/>
    <hyperlink r:id="rId2590" ref="C2332"/>
    <hyperlink r:id="rId2591" ref="C2333"/>
    <hyperlink r:id="rId2592" ref="C2334"/>
    <hyperlink r:id="rId2593" ref="C2335"/>
    <hyperlink r:id="rId2594" ref="C2336"/>
  </hyperlinks>
  <drawing r:id="rId2595"/>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20.13"/>
    <col customWidth="1" min="6" max="6" width="22.38"/>
    <col customWidth="1" min="7" max="7" width="11.38"/>
    <col customWidth="1" min="8" max="8" width="43.88"/>
    <col customWidth="1" min="9" max="11" width="0.63"/>
    <col customWidth="1" min="12" max="12" width="11.88"/>
    <col customWidth="1" min="13" max="13" width="48.0"/>
    <col customWidth="1" min="14" max="14" width="20.13"/>
    <col customWidth="1" min="15" max="15" width="22.38"/>
    <col customWidth="1" min="16" max="16" width="11.38"/>
    <col customWidth="1" min="17" max="17" width="43.88"/>
    <col customWidth="1" min="18" max="19" width="0.63"/>
  </cols>
  <sheetData>
    <row r="1" ht="27.75" customHeight="1" outlineLevel="1">
      <c r="A1" s="130"/>
      <c r="B1" s="130"/>
      <c r="C1" s="131" t="s">
        <v>733</v>
      </c>
      <c r="I1" s="130"/>
      <c r="J1" s="130"/>
      <c r="K1" s="130"/>
      <c r="L1" s="131" t="s">
        <v>834</v>
      </c>
      <c r="R1" s="130"/>
      <c r="S1" s="130"/>
    </row>
    <row r="2" outlineLevel="1">
      <c r="A2" s="132"/>
      <c r="B2" s="132"/>
      <c r="C2" s="133" t="s">
        <v>1986</v>
      </c>
      <c r="I2" s="132"/>
      <c r="J2" s="132"/>
      <c r="K2" s="132"/>
      <c r="L2" s="133" t="s">
        <v>1986</v>
      </c>
      <c r="R2" s="132"/>
      <c r="S2" s="132"/>
    </row>
    <row r="3" outlineLevel="1">
      <c r="A3" s="134"/>
      <c r="B3" s="134"/>
      <c r="C3" s="135" t="str">
        <f>IFERROR(__xludf.DUMMYFUNCTION("IFERROR(UNIQUE(FILTER('Competency Learning Paths'!N:N,'Competency Learning Paths'!A:A= C1)))"),"Insights, analytics, inspecting, cleansing, transforming, and modeling data with the goal of discovering useful information. Informing conclusions and supporting decision-making")</f>
        <v>Insights, analytics, inspecting, cleansing, transforming, and modeling data with the goal of discovering useful information. Informing conclusions and supporting decision-making</v>
      </c>
      <c r="I3" s="134"/>
      <c r="J3" s="134"/>
      <c r="K3" s="134"/>
      <c r="L3" s="135" t="str">
        <f>IFERROR(__xludf.DUMMYFUNCTION("IFERROR(UNIQUE(FILTER('Competency Learning Paths'!N:N,'Competency Learning Paths'!A:A= L1)))"),"Neuroscience of learning, flipped classroom, online learning, instructional design, digital teaching techniques, and strategies")</f>
        <v>Neuroscience of learning, flipped classroom, online learning, instructional design, digital teaching techniques, and strategies</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IFERROR(__xludf.DUMMYFUNCTION("""COMPUTED_VALUE"""),2895588.0)</f>
        <v>2895588</v>
      </c>
      <c r="D5" s="142" t="str">
        <f>IFERROR(__xludf.DUMMYFUNCTION("""COMPUTED_VALUE"""),"Data Strategy")</f>
        <v>Data Strategy</v>
      </c>
      <c r="E5" s="141" t="str">
        <f>IFERROR(__xludf.DUMMYFUNCTION("""COMPUTED_VALUE"""),"C-Suite")</f>
        <v>C-Suite</v>
      </c>
      <c r="F5" s="141" t="str">
        <f>IFERROR(__xludf.DUMMYFUNCTION("""COMPUTED_VALUE"""),"Advanced")</f>
        <v>Advanced</v>
      </c>
      <c r="G5" s="143">
        <f>IFERROR(__xludf.DUMMYFUNCTION("""COMPUTED_VALUE"""),0.03152777777777778)</f>
        <v>0.03152777778</v>
      </c>
      <c r="H5" s="144" t="str">
        <f>IFERROR(__xludf.DUMMYFUNCTION("""COMPUTED_VALUE"""),"Advance Your Data Science Skills in Health Sciences")</f>
        <v>Advance Your Data Science Skills in Health Sciences</v>
      </c>
      <c r="I5" s="140"/>
      <c r="J5" s="140"/>
      <c r="K5" s="140"/>
      <c r="L5" s="141">
        <f>IFERROR(__xludf.DUMMYFUNCTION("""COMPUTED_VALUE"""),2864005.0)</f>
        <v>2864005</v>
      </c>
      <c r="M5" s="145" t="str">
        <f>IFERROR(__xludf.DUMMYFUNCTION("""COMPUTED_VALUE"""),"Reinforcement Learning Foundations")</f>
        <v>Reinforcement Learning Foundations</v>
      </c>
      <c r="N5" s="141" t="str">
        <f>IFERROR(__xludf.DUMMYFUNCTION("""COMPUTED_VALUE"""),"Individual Contributor")</f>
        <v>Individual Contributor</v>
      </c>
      <c r="O5" s="141" t="str">
        <f>IFERROR(__xludf.DUMMYFUNCTION("""COMPUTED_VALUE"""),"Beginner + Intermediate")</f>
        <v>Beginner + Intermediate</v>
      </c>
      <c r="P5" s="146">
        <f>IFERROR(__xludf.DUMMYFUNCTION("""COMPUTED_VALUE"""),0.03159722222222222)</f>
        <v>0.03159722222</v>
      </c>
      <c r="Q5" s="144" t="str">
        <f>IFERROR(__xludf.DUMMYFUNCTION("""COMPUTED_VALUE"""),"Advance Your Skills as a User Experience Researcher")</f>
        <v>Advance Your Skills as a User Experience Researcher</v>
      </c>
      <c r="R5" s="140"/>
      <c r="S5" s="140"/>
    </row>
    <row r="6" ht="33.75" customHeight="1">
      <c r="A6" s="140"/>
      <c r="B6" s="140"/>
      <c r="C6" s="147">
        <f>IFERROR(__xludf.DUMMYFUNCTION("""COMPUTED_VALUE"""),740417.0)</f>
        <v>740417</v>
      </c>
      <c r="D6" s="148" t="str">
        <f>IFERROR(__xludf.DUMMYFUNCTION("""COMPUTED_VALUE"""),"CMO Foundations: Measuring Marketing Effectiveness (ROI)")</f>
        <v>CMO Foundations: Measuring Marketing Effectiveness (ROI)</v>
      </c>
      <c r="E6" s="147" t="str">
        <f>IFERROR(__xludf.DUMMYFUNCTION("""COMPUTED_VALUE"""),"C-Suite")</f>
        <v>C-Suite</v>
      </c>
      <c r="F6" s="141" t="str">
        <f>IFERROR(__xludf.DUMMYFUNCTION("""COMPUTED_VALUE"""),"Beginner")</f>
        <v>Beginner</v>
      </c>
      <c r="G6" s="143">
        <f>IFERROR(__xludf.DUMMYFUNCTION("""COMPUTED_VALUE"""),0.030462962962962963)</f>
        <v>0.03046296296</v>
      </c>
      <c r="H6" s="149" t="str">
        <f>IFERROR(__xludf.DUMMYFUNCTION("""COMPUTED_VALUE"""),"Advance Your Skills in Predictive Analytics")</f>
        <v>Advance Your Skills in Predictive Analytics</v>
      </c>
      <c r="I6" s="140"/>
      <c r="J6" s="140"/>
      <c r="K6" s="140"/>
      <c r="L6" s="147">
        <f>IFERROR(__xludf.DUMMYFUNCTION("""COMPUTED_VALUE"""),2423553.0)</f>
        <v>2423553</v>
      </c>
      <c r="M6" s="150" t="str">
        <f>IFERROR(__xludf.DUMMYFUNCTION("""COMPUTED_VALUE"""),"Connecting LinkedIn Learning with Your Organization's Systems")</f>
        <v>Connecting LinkedIn Learning with Your Organization's Systems</v>
      </c>
      <c r="N6" s="147" t="str">
        <f>IFERROR(__xludf.DUMMYFUNCTION("""COMPUTED_VALUE"""),"Individual Contributor")</f>
        <v>Individual Contributor</v>
      </c>
      <c r="O6" s="141" t="str">
        <f>IFERROR(__xludf.DUMMYFUNCTION("""COMPUTED_VALUE"""),"Intermediate")</f>
        <v>Intermediate</v>
      </c>
      <c r="P6" s="146">
        <f>IFERROR(__xludf.DUMMYFUNCTION("""COMPUTED_VALUE"""),0.018298611111111113)</f>
        <v>0.01829861111</v>
      </c>
      <c r="Q6" s="149" t="str">
        <f>IFERROR(__xludf.DUMMYFUNCTION("""COMPUTED_VALUE"""),"Become an L&amp;D Professional")</f>
        <v>Become an L&amp;D Professional</v>
      </c>
      <c r="R6" s="140"/>
      <c r="S6" s="140"/>
    </row>
    <row r="7" ht="33.75" customHeight="1">
      <c r="A7" s="140"/>
      <c r="B7" s="140"/>
      <c r="C7" s="147">
        <f>IFERROR(__xludf.DUMMYFUNCTION("""COMPUTED_VALUE"""),2876323.0)</f>
        <v>2876323</v>
      </c>
      <c r="D7" s="148" t="str">
        <f>IFERROR(__xludf.DUMMYFUNCTION("""COMPUTED_VALUE"""),"Leading Teams Working with Data: Pitfalls and Best Practices")</f>
        <v>Leading Teams Working with Data: Pitfalls and Best Practices</v>
      </c>
      <c r="E7" s="147" t="str">
        <f>IFERROR(__xludf.DUMMYFUNCTION("""COMPUTED_VALUE"""),"Manager")</f>
        <v>Manager</v>
      </c>
      <c r="F7" s="141" t="str">
        <f>IFERROR(__xludf.DUMMYFUNCTION("""COMPUTED_VALUE"""),"General")</f>
        <v>General</v>
      </c>
      <c r="G7" s="143">
        <f>IFERROR(__xludf.DUMMYFUNCTION("""COMPUTED_VALUE"""),0.023449074074074074)</f>
        <v>0.02344907407</v>
      </c>
      <c r="H7" s="149" t="str">
        <f>IFERROR(__xludf.DUMMYFUNCTION("""COMPUTED_VALUE"""),"Become a Business Analyst")</f>
        <v>Become a Business Analyst</v>
      </c>
      <c r="I7" s="140"/>
      <c r="J7" s="140"/>
      <c r="K7" s="140"/>
      <c r="L7" s="147">
        <f>IFERROR(__xludf.DUMMYFUNCTION("""COMPUTED_VALUE"""),3123063.0)</f>
        <v>3123063</v>
      </c>
      <c r="M7" s="150" t="str">
        <f>IFERROR(__xludf.DUMMYFUNCTION("""COMPUTED_VALUE"""),"Camtasia Essential Training: Advanced Techniques")</f>
        <v>Camtasia Essential Training: Advanced Techniques</v>
      </c>
      <c r="N7" s="147" t="str">
        <f>IFERROR(__xludf.DUMMYFUNCTION("""COMPUTED_VALUE"""),"Individual Contributor")</f>
        <v>Individual Contributor</v>
      </c>
      <c r="O7" s="141" t="str">
        <f>IFERROR(__xludf.DUMMYFUNCTION("""COMPUTED_VALUE"""),"Intermediate")</f>
        <v>Intermediate</v>
      </c>
      <c r="P7" s="146">
        <f>IFERROR(__xludf.DUMMYFUNCTION("""COMPUTED_VALUE"""),0.05873842592592592)</f>
        <v>0.05873842593</v>
      </c>
      <c r="Q7" s="149" t="str">
        <f>IFERROR(__xludf.DUMMYFUNCTION("""COMPUTED_VALUE"""),"Become an Instructional Designer")</f>
        <v>Become an Instructional Designer</v>
      </c>
      <c r="R7" s="140"/>
      <c r="S7" s="140"/>
    </row>
    <row r="8" ht="33.75" customHeight="1">
      <c r="A8" s="140"/>
      <c r="B8" s="140"/>
      <c r="C8" s="147">
        <f>IFERROR(__xludf.DUMMYFUNCTION("""COMPUTED_VALUE"""),3129466.0)</f>
        <v>3129466</v>
      </c>
      <c r="D8" s="148" t="str">
        <f>IFERROR(__xludf.DUMMYFUNCTION("""COMPUTED_VALUE"""),"Measuring Business Performance")</f>
        <v>Measuring Business Performance</v>
      </c>
      <c r="E8" s="147" t="str">
        <f>IFERROR(__xludf.DUMMYFUNCTION("""COMPUTED_VALUE"""),"Manager")</f>
        <v>Manager</v>
      </c>
      <c r="F8" s="141" t="str">
        <f>IFERROR(__xludf.DUMMYFUNCTION("""COMPUTED_VALUE"""),"Intermediate")</f>
        <v>Intermediate</v>
      </c>
      <c r="G8" s="143">
        <f>IFERROR(__xludf.DUMMYFUNCTION("""COMPUTED_VALUE"""),0.025694444444444443)</f>
        <v>0.02569444444</v>
      </c>
      <c r="H8" s="149" t="str">
        <f>IFERROR(__xludf.DUMMYFUNCTION("""COMPUTED_VALUE"""),"Become a Business Analytics Expert")</f>
        <v>Become a Business Analytics Expert</v>
      </c>
      <c r="I8" s="140"/>
      <c r="J8" s="140"/>
      <c r="K8" s="140"/>
      <c r="L8" s="147">
        <f>IFERROR(__xludf.DUMMYFUNCTION("""COMPUTED_VALUE"""),2424408.0)</f>
        <v>2424408</v>
      </c>
      <c r="M8" s="150" t="str">
        <f>IFERROR(__xludf.DUMMYFUNCTION("""COMPUTED_VALUE"""),"Creating Inclusive Learning Experiences")</f>
        <v>Creating Inclusive Learning Experiences</v>
      </c>
      <c r="N8" s="147" t="str">
        <f>IFERROR(__xludf.DUMMYFUNCTION("""COMPUTED_VALUE"""),"Individual Contributor")</f>
        <v>Individual Contributor</v>
      </c>
      <c r="O8" s="141" t="str">
        <f>IFERROR(__xludf.DUMMYFUNCTION("""COMPUTED_VALUE"""),"Intermediate")</f>
        <v>Intermediate</v>
      </c>
      <c r="P8" s="146">
        <f>IFERROR(__xludf.DUMMYFUNCTION("""COMPUTED_VALUE"""),0.03274305555555555)</f>
        <v>0.03274305556</v>
      </c>
      <c r="Q8" s="149" t="str">
        <f>IFERROR(__xludf.DUMMYFUNCTION("""COMPUTED_VALUE"""),"Become an Instructional Developer")</f>
        <v>Become an Instructional Developer</v>
      </c>
      <c r="R8" s="140"/>
      <c r="S8" s="140"/>
    </row>
    <row r="9" ht="33.75" customHeight="1">
      <c r="A9" s="140"/>
      <c r="B9" s="140"/>
      <c r="C9" s="147">
        <f>IFERROR(__xludf.DUMMYFUNCTION("""COMPUTED_VALUE"""),2881215.0)</f>
        <v>2881215</v>
      </c>
      <c r="D9" s="148" t="str">
        <f>IFERROR(__xludf.DUMMYFUNCTION("""COMPUTED_VALUE"""),"Learning Data Governance")</f>
        <v>Learning Data Governance</v>
      </c>
      <c r="E9" s="147" t="str">
        <f>IFERROR(__xludf.DUMMYFUNCTION("""COMPUTED_VALUE"""),"Manager")</f>
        <v>Manager</v>
      </c>
      <c r="F9" s="141" t="str">
        <f>IFERROR(__xludf.DUMMYFUNCTION("""COMPUTED_VALUE"""),"Intermediate")</f>
        <v>Intermediate</v>
      </c>
      <c r="G9" s="143">
        <f>IFERROR(__xludf.DUMMYFUNCTION("""COMPUTED_VALUE"""),0.05846064814814815)</f>
        <v>0.05846064815</v>
      </c>
      <c r="H9" s="149" t="str">
        <f>IFERROR(__xludf.DUMMYFUNCTION("""COMPUTED_VALUE"""),"Become a Data Analyst")</f>
        <v>Become a Data Analyst</v>
      </c>
      <c r="I9" s="140"/>
      <c r="J9" s="140"/>
      <c r="K9" s="140"/>
      <c r="L9" s="147">
        <f>IFERROR(__xludf.DUMMYFUNCTION("""COMPUTED_VALUE"""),777390.0)</f>
        <v>777390</v>
      </c>
      <c r="M9" s="148" t="str">
        <f>IFERROR(__xludf.DUMMYFUNCTION("""COMPUTED_VALUE"""),"Corporate Instruction Foundations")</f>
        <v>Corporate Instruction Foundations</v>
      </c>
      <c r="N9" s="147" t="str">
        <f>IFERROR(__xludf.DUMMYFUNCTION("""COMPUTED_VALUE"""),"General")</f>
        <v>General</v>
      </c>
      <c r="O9" s="141" t="str">
        <f>IFERROR(__xludf.DUMMYFUNCTION("""COMPUTED_VALUE"""),"Beginner")</f>
        <v>Beginner</v>
      </c>
      <c r="P9" s="143">
        <f>IFERROR(__xludf.DUMMYFUNCTION("""COMPUTED_VALUE"""),0.03436342592592593)</f>
        <v>0.03436342593</v>
      </c>
      <c r="Q9" s="149" t="str">
        <f>IFERROR(__xludf.DUMMYFUNCTION("""COMPUTED_VALUE"""),"Become an Online Instructor")</f>
        <v>Become an Online Instructor</v>
      </c>
      <c r="R9" s="140"/>
      <c r="S9" s="140"/>
    </row>
    <row r="10" ht="33.75" customHeight="1">
      <c r="A10" s="140"/>
      <c r="B10" s="140"/>
      <c r="C10" s="147">
        <f>IFERROR(__xludf.DUMMYFUNCTION("""COMPUTED_VALUE"""),2892049.0)</f>
        <v>2892049</v>
      </c>
      <c r="D10" s="148" t="str">
        <f>IFERROR(__xludf.DUMMYFUNCTION("""COMPUTED_VALUE"""),"Data Visualization: Best Practices")</f>
        <v>Data Visualization: Best Practices</v>
      </c>
      <c r="E10" s="147" t="str">
        <f>IFERROR(__xludf.DUMMYFUNCTION("""COMPUTED_VALUE"""),"Individual Contributor")</f>
        <v>Individual Contributor</v>
      </c>
      <c r="F10" s="141" t="str">
        <f>IFERROR(__xludf.DUMMYFUNCTION("""COMPUTED_VALUE"""),"Beginner")</f>
        <v>Beginner</v>
      </c>
      <c r="G10" s="143">
        <f>IFERROR(__xludf.DUMMYFUNCTION("""COMPUTED_VALUE"""),0.0682175925925926)</f>
        <v>0.06821759259</v>
      </c>
      <c r="H10" s="158" t="str">
        <f>IFERROR(__xludf.DUMMYFUNCTION("""COMPUTED_VALUE"""),"Become a Data Visualization Specialist: Concepts")</f>
        <v>Become a Data Visualization Specialist: Concepts</v>
      </c>
      <c r="I10" s="140"/>
      <c r="J10" s="140"/>
      <c r="K10" s="140"/>
      <c r="L10" s="147">
        <f>IFERROR(__xludf.DUMMYFUNCTION("""COMPUTED_VALUE"""),2807860.0)</f>
        <v>2807860</v>
      </c>
      <c r="M10" s="148" t="str">
        <f>IFERROR(__xludf.DUMMYFUNCTION("""COMPUTED_VALUE"""),"Learning Articulate Rise")</f>
        <v>Learning Articulate Rise</v>
      </c>
      <c r="N10" s="147" t="str">
        <f>IFERROR(__xludf.DUMMYFUNCTION("""COMPUTED_VALUE"""),"General")</f>
        <v>General</v>
      </c>
      <c r="O10" s="141" t="str">
        <f>IFERROR(__xludf.DUMMYFUNCTION("""COMPUTED_VALUE"""),"Beginner")</f>
        <v>Beginner</v>
      </c>
      <c r="P10" s="143">
        <f>IFERROR(__xludf.DUMMYFUNCTION("""COMPUTED_VALUE"""),0.06814814814814815)</f>
        <v>0.06814814815</v>
      </c>
      <c r="Q10" s="158" t="str">
        <f>IFERROR(__xludf.DUMMYFUNCTION("""COMPUTED_VALUE"""),"Become a User Experience Designer")</f>
        <v>Become a User Experience Designer</v>
      </c>
      <c r="R10" s="140"/>
      <c r="S10" s="140"/>
    </row>
    <row r="11" ht="33.75" customHeight="1">
      <c r="A11" s="140"/>
      <c r="B11" s="140"/>
      <c r="C11" s="147">
        <f>IFERROR(__xludf.DUMMYFUNCTION("""COMPUTED_VALUE"""),2861045.0)</f>
        <v>2861045</v>
      </c>
      <c r="D11" s="148" t="str">
        <f>IFERROR(__xludf.DUMMYFUNCTION("""COMPUTED_VALUE"""),"15 Mistakes to Avoid in Data Science")</f>
        <v>15 Mistakes to Avoid in Data Science</v>
      </c>
      <c r="E11" s="147" t="str">
        <f>IFERROR(__xludf.DUMMYFUNCTION("""COMPUTED_VALUE"""),"Individual Contributor")</f>
        <v>Individual Contributor</v>
      </c>
      <c r="F11" s="141" t="str">
        <f>IFERROR(__xludf.DUMMYFUNCTION("""COMPUTED_VALUE"""),"Intermediate")</f>
        <v>Intermediate</v>
      </c>
      <c r="G11" s="143">
        <f>IFERROR(__xludf.DUMMYFUNCTION("""COMPUTED_VALUE"""),0.01326388888888889)</f>
        <v>0.01326388889</v>
      </c>
      <c r="H11" s="149" t="str">
        <f>IFERROR(__xludf.DUMMYFUNCTION("""COMPUTED_VALUE"""),"Become a Data Visualization Specialist: Tools")</f>
        <v>Become a Data Visualization Specialist: Tools</v>
      </c>
      <c r="I11" s="140"/>
      <c r="J11" s="140"/>
      <c r="K11" s="140"/>
      <c r="L11" s="147">
        <f>IFERROR(__xludf.DUMMYFUNCTION("""COMPUTED_VALUE"""),782136.0)</f>
        <v>782136</v>
      </c>
      <c r="M11" s="148" t="str">
        <f>IFERROR(__xludf.DUMMYFUNCTION("""COMPUTED_VALUE"""),"Instructional Design Essentials: Models of ID")</f>
        <v>Instructional Design Essentials: Models of ID</v>
      </c>
      <c r="N11" s="147" t="str">
        <f>IFERROR(__xludf.DUMMYFUNCTION("""COMPUTED_VALUE"""),"General")</f>
        <v>General</v>
      </c>
      <c r="O11" s="141" t="str">
        <f>IFERROR(__xludf.DUMMYFUNCTION("""COMPUTED_VALUE"""),"Beginner")</f>
        <v>Beginner</v>
      </c>
      <c r="P11" s="143">
        <f>IFERROR(__xludf.DUMMYFUNCTION("""COMPUTED_VALUE"""),0.03128472222222222)</f>
        <v>0.03128472222</v>
      </c>
      <c r="Q11" s="149" t="str">
        <f>IFERROR(__xludf.DUMMYFUNCTION("""COMPUTED_VALUE"""),"Build Your Own Professional Training")</f>
        <v>Build Your Own Professional Training</v>
      </c>
      <c r="R11" s="140"/>
      <c r="S11" s="140"/>
    </row>
    <row r="12" ht="33.75" customHeight="1">
      <c r="A12" s="140"/>
      <c r="B12" s="140"/>
      <c r="C12" s="147">
        <f>IFERROR(__xludf.DUMMYFUNCTION("""COMPUTED_VALUE"""),2860040.0)</f>
        <v>2860040</v>
      </c>
      <c r="D12" s="148" t="str">
        <f>IFERROR(__xludf.DUMMYFUNCTION("""COMPUTED_VALUE"""),"Lessons from Data Scientists")</f>
        <v>Lessons from Data Scientists</v>
      </c>
      <c r="E12" s="147" t="str">
        <f>IFERROR(__xludf.DUMMYFUNCTION("""COMPUTED_VALUE"""),"Individual Contributor")</f>
        <v>Individual Contributor</v>
      </c>
      <c r="F12" s="141" t="str">
        <f>IFERROR(__xludf.DUMMYFUNCTION("""COMPUTED_VALUE"""),"Intermediate")</f>
        <v>Intermediate</v>
      </c>
      <c r="G12" s="143">
        <f>IFERROR(__xludf.DUMMYFUNCTION("""COMPUTED_VALUE"""),0.034895833333333334)</f>
        <v>0.03489583333</v>
      </c>
      <c r="H12" s="149" t="str">
        <f>IFERROR(__xludf.DUMMYFUNCTION("""COMPUTED_VALUE"""),"Become a Data Analytics Specialist")</f>
        <v>Become a Data Analytics Specialist</v>
      </c>
      <c r="I12" s="140"/>
      <c r="J12" s="140"/>
      <c r="K12" s="140"/>
      <c r="L12" s="147">
        <f>IFERROR(__xludf.DUMMYFUNCTION("""COMPUTED_VALUE"""),2212265.0)</f>
        <v>2212265</v>
      </c>
      <c r="M12" s="148" t="str">
        <f>IFERROR(__xludf.DUMMYFUNCTION("""COMPUTED_VALUE"""),"Graphic Design Careers: First Steps")</f>
        <v>Graphic Design Careers: First Steps</v>
      </c>
      <c r="N12" s="147" t="str">
        <f>IFERROR(__xludf.DUMMYFUNCTION("""COMPUTED_VALUE"""),"General")</f>
        <v>General</v>
      </c>
      <c r="O12" s="141" t="str">
        <f>IFERROR(__xludf.DUMMYFUNCTION("""COMPUTED_VALUE"""),"Beginner")</f>
        <v>Beginner</v>
      </c>
      <c r="P12" s="143">
        <f>IFERROR(__xludf.DUMMYFUNCTION("""COMPUTED_VALUE"""),0.014479166666666666)</f>
        <v>0.01447916667</v>
      </c>
      <c r="Q12" s="149" t="str">
        <f>IFERROR(__xludf.DUMMYFUNCTION("""COMPUTED_VALUE"""),"Create LinkedIn Mobile Videos")</f>
        <v>Create LinkedIn Mobile Videos</v>
      </c>
      <c r="R12" s="140"/>
      <c r="S12" s="140"/>
    </row>
    <row r="13" ht="33.75" customHeight="1">
      <c r="A13" s="140"/>
      <c r="B13" s="140"/>
      <c r="C13" s="147">
        <f>IFERROR(__xludf.DUMMYFUNCTION("""COMPUTED_VALUE"""),2841395.0)</f>
        <v>2841395</v>
      </c>
      <c r="D13" s="148" t="str">
        <f>IFERROR(__xludf.DUMMYFUNCTION("""COMPUTED_VALUE"""),"Excel VBA: Managing Files and Data")</f>
        <v>Excel VBA: Managing Files and Data</v>
      </c>
      <c r="E13" s="147" t="str">
        <f>IFERROR(__xludf.DUMMYFUNCTION("""COMPUTED_VALUE"""),"Individual Contributor")</f>
        <v>Individual Contributor</v>
      </c>
      <c r="F13" s="141" t="str">
        <f>IFERROR(__xludf.DUMMYFUNCTION("""COMPUTED_VALUE"""),"Advanced")</f>
        <v>Advanced</v>
      </c>
      <c r="G13" s="143">
        <f>IFERROR(__xludf.DUMMYFUNCTION("""COMPUTED_VALUE"""),0.1573263888888889)</f>
        <v>0.1573263889</v>
      </c>
      <c r="H13" s="158" t="str">
        <f>IFERROR(__xludf.DUMMYFUNCTION("""COMPUTED_VALUE"""),"Become a Data Scientist")</f>
        <v>Become a Data Scientist</v>
      </c>
      <c r="I13" s="140"/>
      <c r="J13" s="140"/>
      <c r="K13" s="140"/>
      <c r="L13" s="147">
        <f>IFERROR(__xludf.DUMMYFUNCTION("""COMPUTED_VALUE"""),2213242.0)</f>
        <v>2213242</v>
      </c>
      <c r="M13" s="148" t="str">
        <f>IFERROR(__xludf.DUMMYFUNCTION("""COMPUTED_VALUE"""),"Building a Creative Online Community")</f>
        <v>Building a Creative Online Community</v>
      </c>
      <c r="N13" s="147" t="str">
        <f>IFERROR(__xludf.DUMMYFUNCTION("""COMPUTED_VALUE"""),"General")</f>
        <v>General</v>
      </c>
      <c r="O13" s="141" t="str">
        <f>IFERROR(__xludf.DUMMYFUNCTION("""COMPUTED_VALUE"""),"Beginner")</f>
        <v>Beginner</v>
      </c>
      <c r="P13" s="143">
        <f>IFERROR(__xludf.DUMMYFUNCTION("""COMPUTED_VALUE"""),0.029652777777777778)</f>
        <v>0.02965277778</v>
      </c>
      <c r="Q13" s="158" t="str">
        <f>IFERROR(__xludf.DUMMYFUNCTION("""COMPUTED_VALUE"""),"Develop Your Course Design and Instructional Skills")</f>
        <v>Develop Your Course Design and Instructional Skills</v>
      </c>
      <c r="R13" s="140"/>
      <c r="S13" s="140"/>
    </row>
    <row r="14" ht="33.75" customHeight="1">
      <c r="A14" s="140"/>
      <c r="B14" s="140"/>
      <c r="C14" s="147">
        <f>IFERROR(__xludf.DUMMYFUNCTION("""COMPUTED_VALUE"""),664827.0)</f>
        <v>664827</v>
      </c>
      <c r="D14" s="148" t="str">
        <f>IFERROR(__xludf.DUMMYFUNCTION("""COMPUTED_VALUE"""),"Business Analytics: Forecasting with Exponential Smoothing")</f>
        <v>Business Analytics: Forecasting with Exponential Smoothing</v>
      </c>
      <c r="E14" s="147" t="str">
        <f>IFERROR(__xludf.DUMMYFUNCTION("""COMPUTED_VALUE"""),"General")</f>
        <v>General</v>
      </c>
      <c r="F14" s="141" t="str">
        <f>IFERROR(__xludf.DUMMYFUNCTION("""COMPUTED_VALUE"""),"Advanced")</f>
        <v>Advanced</v>
      </c>
      <c r="G14" s="143">
        <f>IFERROR(__xludf.DUMMYFUNCTION("""COMPUTED_VALUE"""),0.04528935185185185)</f>
        <v>0.04528935185</v>
      </c>
      <c r="H14" s="149" t="str">
        <f>IFERROR(__xludf.DUMMYFUNCTION("""COMPUTED_VALUE"""),"Build Essential Data Skills")</f>
        <v>Build Essential Data Skills</v>
      </c>
      <c r="I14" s="140"/>
      <c r="J14" s="140"/>
      <c r="K14" s="140"/>
      <c r="L14" s="147">
        <f>IFERROR(__xludf.DUMMYFUNCTION("""COMPUTED_VALUE"""),2804067.0)</f>
        <v>2804067</v>
      </c>
      <c r="M14" s="148" t="str">
        <f>IFERROR(__xludf.DUMMYFUNCTION("""COMPUTED_VALUE"""),"Training with Stories")</f>
        <v>Training with Stories</v>
      </c>
      <c r="N14" s="147" t="str">
        <f>IFERROR(__xludf.DUMMYFUNCTION("""COMPUTED_VALUE"""),"General")</f>
        <v>General</v>
      </c>
      <c r="O14" s="141" t="str">
        <f>IFERROR(__xludf.DUMMYFUNCTION("""COMPUTED_VALUE"""),"Beginner")</f>
        <v>Beginner</v>
      </c>
      <c r="P14" s="143">
        <f>IFERROR(__xludf.DUMMYFUNCTION("""COMPUTED_VALUE"""),0.0234375)</f>
        <v>0.0234375</v>
      </c>
      <c r="Q14" s="149" t="str">
        <f>IFERROR(__xludf.DUMMYFUNCTION("""COMPUTED_VALUE"""),"Improve Your UX Design Skills")</f>
        <v>Improve Your UX Design Skills</v>
      </c>
      <c r="R14" s="140"/>
      <c r="S14" s="140"/>
    </row>
    <row r="15" ht="33.75" customHeight="1">
      <c r="A15" s="140"/>
      <c r="B15" s="140"/>
      <c r="C15" s="147">
        <f>IFERROR(__xludf.DUMMYFUNCTION("""COMPUTED_VALUE"""),2806960.0)</f>
        <v>2806960</v>
      </c>
      <c r="D15" s="148" t="str">
        <f>IFERROR(__xludf.DUMMYFUNCTION("""COMPUTED_VALUE"""),"Cert Prep: Excel Expert - Microsoft Office Specialist for Office 2019 and Office 365")</f>
        <v>Cert Prep: Excel Expert - Microsoft Office Specialist for Office 2019 and Office 365</v>
      </c>
      <c r="E15" s="147" t="str">
        <f>IFERROR(__xludf.DUMMYFUNCTION("""COMPUTED_VALUE"""),"General")</f>
        <v>General</v>
      </c>
      <c r="F15" s="141" t="str">
        <f>IFERROR(__xludf.DUMMYFUNCTION("""COMPUTED_VALUE"""),"Advanced")</f>
        <v>Advanced</v>
      </c>
      <c r="G15" s="143">
        <f>IFERROR(__xludf.DUMMYFUNCTION("""COMPUTED_VALUE"""),0.19672453703703704)</f>
        <v>0.196724537</v>
      </c>
      <c r="H15" s="149" t="str">
        <f>IFERROR(__xludf.DUMMYFUNCTION("""COMPUTED_VALUE"""),"Become a Business Intelligence Specialist")</f>
        <v>Become a Business Intelligence Specialist</v>
      </c>
      <c r="I15" s="140"/>
      <c r="J15" s="140"/>
      <c r="K15" s="140"/>
      <c r="L15" s="147">
        <f>IFERROR(__xludf.DUMMYFUNCTION("""COMPUTED_VALUE"""),2810627.0)</f>
        <v>2810627</v>
      </c>
      <c r="M15" s="148" t="str">
        <f>IFERROR(__xludf.DUMMYFUNCTION("""COMPUTED_VALUE"""),"Creating Fun and Engaging Video Training: The How")</f>
        <v>Creating Fun and Engaging Video Training: The How</v>
      </c>
      <c r="N15" s="147" t="str">
        <f>IFERROR(__xludf.DUMMYFUNCTION("""COMPUTED_VALUE"""),"General")</f>
        <v>General</v>
      </c>
      <c r="O15" s="141" t="str">
        <f>IFERROR(__xludf.DUMMYFUNCTION("""COMPUTED_VALUE"""),"Beginner")</f>
        <v>Beginner</v>
      </c>
      <c r="P15" s="143">
        <f>IFERROR(__xludf.DUMMYFUNCTION("""COMPUTED_VALUE"""),0.020266203703703703)</f>
        <v>0.0202662037</v>
      </c>
      <c r="Q15" s="149" t="str">
        <f>IFERROR(__xludf.DUMMYFUNCTION("""COMPUTED_VALUE"""),"Managing your Career as a Developer")</f>
        <v>Managing your Career as a Developer</v>
      </c>
      <c r="R15" s="140"/>
      <c r="S15" s="140"/>
    </row>
    <row r="16" ht="33.75" customHeight="1">
      <c r="A16" s="140"/>
      <c r="B16" s="140"/>
      <c r="C16" s="147">
        <f>IFERROR(__xludf.DUMMYFUNCTION("""COMPUTED_VALUE"""),5022330.0)</f>
        <v>5022330</v>
      </c>
      <c r="D16" s="148" t="str">
        <f>IFERROR(__xludf.DUMMYFUNCTION("""COMPUTED_VALUE"""),"People Analytics")</f>
        <v>People Analytics</v>
      </c>
      <c r="E16" s="147" t="str">
        <f>IFERROR(__xludf.DUMMYFUNCTION("""COMPUTED_VALUE"""),"General")</f>
        <v>General</v>
      </c>
      <c r="F16" s="141" t="str">
        <f>IFERROR(__xludf.DUMMYFUNCTION("""COMPUTED_VALUE"""),"Advanced")</f>
        <v>Advanced</v>
      </c>
      <c r="G16" s="143">
        <f>IFERROR(__xludf.DUMMYFUNCTION("""COMPUTED_VALUE"""),0.024780092592592593)</f>
        <v>0.02478009259</v>
      </c>
      <c r="H16" s="149" t="str">
        <f>IFERROR(__xludf.DUMMYFUNCTION("""COMPUTED_VALUE"""),"Develop Your Data Analysis Skills ")</f>
        <v>Develop Your Data Analysis Skills </v>
      </c>
      <c r="I16" s="140"/>
      <c r="J16" s="140"/>
      <c r="K16" s="140"/>
      <c r="L16" s="147">
        <f>IFERROR(__xludf.DUMMYFUNCTION("""COMPUTED_VALUE"""),2811711.0)</f>
        <v>2811711</v>
      </c>
      <c r="M16" s="148" t="str">
        <f>IFERROR(__xludf.DUMMYFUNCTION("""COMPUTED_VALUE"""),"Creating Fun and Engaging Video Training: The Why")</f>
        <v>Creating Fun and Engaging Video Training: The Why</v>
      </c>
      <c r="N16" s="147" t="str">
        <f>IFERROR(__xludf.DUMMYFUNCTION("""COMPUTED_VALUE"""),"General")</f>
        <v>General</v>
      </c>
      <c r="O16" s="141" t="str">
        <f>IFERROR(__xludf.DUMMYFUNCTION("""COMPUTED_VALUE"""),"Beginner")</f>
        <v>Beginner</v>
      </c>
      <c r="P16" s="143">
        <f>IFERROR(__xludf.DUMMYFUNCTION("""COMPUTED_VALUE"""),0.015081018518518518)</f>
        <v>0.01508101852</v>
      </c>
      <c r="Q16" s="149" t="str">
        <f>IFERROR(__xludf.DUMMYFUNCTION("""COMPUTED_VALUE"""),"Stay Competitive Using Design Thinking")</f>
        <v>Stay Competitive Using Design Thinking</v>
      </c>
      <c r="R16" s="140"/>
      <c r="S16" s="140"/>
    </row>
    <row r="17" ht="33.75" customHeight="1">
      <c r="A17" s="140"/>
      <c r="B17" s="140"/>
      <c r="C17" s="147">
        <f>IFERROR(__xludf.DUMMYFUNCTION("""COMPUTED_VALUE"""),2819145.0)</f>
        <v>2819145</v>
      </c>
      <c r="D17" s="148" t="str">
        <f>IFERROR(__xludf.DUMMYFUNCTION("""COMPUTED_VALUE"""),"Apache Flink: Exploratory Data Analytics with SQL")</f>
        <v>Apache Flink: Exploratory Data Analytics with SQL</v>
      </c>
      <c r="E17" s="147" t="str">
        <f>IFERROR(__xludf.DUMMYFUNCTION("""COMPUTED_VALUE"""),"General")</f>
        <v>General</v>
      </c>
      <c r="F17" s="141" t="str">
        <f>IFERROR(__xludf.DUMMYFUNCTION("""COMPUTED_VALUE"""),"Advanced")</f>
        <v>Advanced</v>
      </c>
      <c r="G17" s="143">
        <f>IFERROR(__xludf.DUMMYFUNCTION("""COMPUTED_VALUE"""),0.04694444444444444)</f>
        <v>0.04694444444</v>
      </c>
      <c r="H17" s="149" t="str">
        <f>IFERROR(__xludf.DUMMYFUNCTION("""COMPUTED_VALUE"""),"Get Ahead In Data Science")</f>
        <v>Get Ahead In Data Science</v>
      </c>
      <c r="I17" s="140"/>
      <c r="J17" s="140"/>
      <c r="K17" s="140"/>
      <c r="L17" s="147">
        <f>IFERROR(__xludf.DUMMYFUNCTION("""COMPUTED_VALUE"""),2813284.0)</f>
        <v>2813284</v>
      </c>
      <c r="M17" s="148" t="str">
        <f>IFERROR(__xludf.DUMMYFUNCTION("""COMPUTED_VALUE"""),"Build Your Own Professional Training: Quick Start Guide")</f>
        <v>Build Your Own Professional Training: Quick Start Guide</v>
      </c>
      <c r="N17" s="147" t="str">
        <f>IFERROR(__xludf.DUMMYFUNCTION("""COMPUTED_VALUE"""),"General")</f>
        <v>General</v>
      </c>
      <c r="O17" s="141" t="str">
        <f>IFERROR(__xludf.DUMMYFUNCTION("""COMPUTED_VALUE"""),"Beginner")</f>
        <v>Beginner</v>
      </c>
      <c r="P17" s="143">
        <f>IFERROR(__xludf.DUMMYFUNCTION("""COMPUTED_VALUE"""),0.02652777777777778)</f>
        <v>0.02652777778</v>
      </c>
      <c r="Q17" s="149" t="str">
        <f>IFERROR(__xludf.DUMMYFUNCTION("""COMPUTED_VALUE"""),"Visual Communication for Business Professionals")</f>
        <v>Visual Communication for Business Professionals</v>
      </c>
      <c r="R17" s="140"/>
      <c r="S17" s="140"/>
    </row>
    <row r="18" ht="33.75" customHeight="1">
      <c r="A18" s="140"/>
      <c r="B18" s="140"/>
      <c r="C18" s="147">
        <f>IFERROR(__xludf.DUMMYFUNCTION("""COMPUTED_VALUE"""),2825682.0)</f>
        <v>2825682</v>
      </c>
      <c r="D18" s="148" t="str">
        <f>IFERROR(__xludf.DUMMYFUNCTION("""COMPUTED_VALUE"""),"Data-Driven Learning Design")</f>
        <v>Data-Driven Learning Design</v>
      </c>
      <c r="E18" s="147" t="str">
        <f>IFERROR(__xludf.DUMMYFUNCTION("""COMPUTED_VALUE"""),"General")</f>
        <v>General</v>
      </c>
      <c r="F18" s="141" t="str">
        <f>IFERROR(__xludf.DUMMYFUNCTION("""COMPUTED_VALUE"""),"Advanced")</f>
        <v>Advanced</v>
      </c>
      <c r="G18" s="143">
        <f>IFERROR(__xludf.DUMMYFUNCTION("""COMPUTED_VALUE"""),0.018252314814814815)</f>
        <v>0.01825231481</v>
      </c>
      <c r="H18" s="149" t="str">
        <f>IFERROR(__xludf.DUMMYFUNCTION("""COMPUTED_VALUE"""),"Master Advanced Excel Data &amp; Analytics Skills")</f>
        <v>Master Advanced Excel Data &amp; Analytics Skills</v>
      </c>
      <c r="I18" s="140"/>
      <c r="J18" s="140"/>
      <c r="K18" s="140"/>
      <c r="L18" s="147">
        <f>IFERROR(__xludf.DUMMYFUNCTION("""COMPUTED_VALUE"""),2814098.0)</f>
        <v>2814098</v>
      </c>
      <c r="M18" s="148" t="str">
        <f>IFERROR(__xludf.DUMMYFUNCTION("""COMPUTED_VALUE"""),"Using Humor In Training to Engage Your Audience")</f>
        <v>Using Humor In Training to Engage Your Audience</v>
      </c>
      <c r="N18" s="147" t="str">
        <f>IFERROR(__xludf.DUMMYFUNCTION("""COMPUTED_VALUE"""),"General")</f>
        <v>General</v>
      </c>
      <c r="O18" s="141" t="str">
        <f>IFERROR(__xludf.DUMMYFUNCTION("""COMPUTED_VALUE"""),"Beginner")</f>
        <v>Beginner</v>
      </c>
      <c r="P18" s="143">
        <f>IFERROR(__xludf.DUMMYFUNCTION("""COMPUTED_VALUE"""),0.01920138888888889)</f>
        <v>0.01920138889</v>
      </c>
      <c r="Q18" s="151"/>
      <c r="R18" s="140"/>
      <c r="S18" s="140"/>
    </row>
    <row r="19" ht="33.75" customHeight="1">
      <c r="A19" s="140"/>
      <c r="B19" s="140"/>
      <c r="C19" s="147">
        <f>IFERROR(__xludf.DUMMYFUNCTION("""COMPUTED_VALUE"""),490754.0)</f>
        <v>490754</v>
      </c>
      <c r="D19" s="148" t="str">
        <f>IFERROR(__xludf.DUMMYFUNCTION("""COMPUTED_VALUE"""),"Business Analysis Foundations: Business Process Modeling")</f>
        <v>Business Analysis Foundations: Business Process Modeling</v>
      </c>
      <c r="E19" s="147" t="str">
        <f>IFERROR(__xludf.DUMMYFUNCTION("""COMPUTED_VALUE"""),"General")</f>
        <v>General</v>
      </c>
      <c r="F19" s="141" t="str">
        <f>IFERROR(__xludf.DUMMYFUNCTION("""COMPUTED_VALUE"""),"Beginner")</f>
        <v>Beginner</v>
      </c>
      <c r="G19" s="143">
        <f>IFERROR(__xludf.DUMMYFUNCTION("""COMPUTED_VALUE"""),0.054675925925925926)</f>
        <v>0.05467592593</v>
      </c>
      <c r="H19" s="149" t="str">
        <f>IFERROR(__xludf.DUMMYFUNCTION("""COMPUTED_VALUE"""),"Master Excel for Data Science")</f>
        <v>Master Excel for Data Science</v>
      </c>
      <c r="I19" s="140"/>
      <c r="J19" s="140"/>
      <c r="K19" s="140"/>
      <c r="L19" s="147">
        <f>IFERROR(__xludf.DUMMYFUNCTION("""COMPUTED_VALUE"""),2818145.0)</f>
        <v>2818145</v>
      </c>
      <c r="M19" s="148" t="str">
        <f>IFERROR(__xludf.DUMMYFUNCTION("""COMPUTED_VALUE"""),"Learning to Teach Online")</f>
        <v>Learning to Teach Online</v>
      </c>
      <c r="N19" s="147" t="str">
        <f>IFERROR(__xludf.DUMMYFUNCTION("""COMPUTED_VALUE"""),"General")</f>
        <v>General</v>
      </c>
      <c r="O19" s="141" t="str">
        <f>IFERROR(__xludf.DUMMYFUNCTION("""COMPUTED_VALUE"""),"Beginner")</f>
        <v>Beginner</v>
      </c>
      <c r="P19" s="143">
        <f>IFERROR(__xludf.DUMMYFUNCTION("""COMPUTED_VALUE"""),0.032372685185185185)</f>
        <v>0.03237268519</v>
      </c>
      <c r="Q19" s="151"/>
      <c r="R19" s="140"/>
      <c r="S19" s="140"/>
    </row>
    <row r="20" ht="33.75" customHeight="1">
      <c r="A20" s="140"/>
      <c r="B20" s="140"/>
      <c r="C20" s="147">
        <f>IFERROR(__xludf.DUMMYFUNCTION("""COMPUTED_VALUE"""),601768.0)</f>
        <v>601768</v>
      </c>
      <c r="D20" s="148" t="str">
        <f>IFERROR(__xludf.DUMMYFUNCTION("""COMPUTED_VALUE"""),"Business Analysis Foundations: Competencies")</f>
        <v>Business Analysis Foundations: Competencies</v>
      </c>
      <c r="E20" s="147" t="str">
        <f>IFERROR(__xludf.DUMMYFUNCTION("""COMPUTED_VALUE"""),"General")</f>
        <v>General</v>
      </c>
      <c r="F20" s="141" t="str">
        <f>IFERROR(__xludf.DUMMYFUNCTION("""COMPUTED_VALUE"""),"Beginner")</f>
        <v>Beginner</v>
      </c>
      <c r="G20" s="143">
        <f>IFERROR(__xludf.DUMMYFUNCTION("""COMPUTED_VALUE"""),0.060127314814814814)</f>
        <v>0.06012731481</v>
      </c>
      <c r="H20" s="149" t="str">
        <f>IFERROR(__xludf.DUMMYFUNCTION("""COMPUTED_VALUE"""),"Master Python for Data Science")</f>
        <v>Master Python for Data Science</v>
      </c>
      <c r="I20" s="140"/>
      <c r="J20" s="140"/>
      <c r="K20" s="140"/>
      <c r="L20" s="147">
        <f>IFERROR(__xludf.DUMMYFUNCTION("""COMPUTED_VALUE"""),2822593.0)</f>
        <v>2822593</v>
      </c>
      <c r="M20" s="148" t="str">
        <f>IFERROR(__xludf.DUMMYFUNCTION("""COMPUTED_VALUE"""),"Learning Moodle 3.9")</f>
        <v>Learning Moodle 3.9</v>
      </c>
      <c r="N20" s="147" t="str">
        <f>IFERROR(__xludf.DUMMYFUNCTION("""COMPUTED_VALUE"""),"General")</f>
        <v>General</v>
      </c>
      <c r="O20" s="141" t="str">
        <f>IFERROR(__xludf.DUMMYFUNCTION("""COMPUTED_VALUE"""),"Beginner")</f>
        <v>Beginner</v>
      </c>
      <c r="P20" s="143">
        <f>IFERROR(__xludf.DUMMYFUNCTION("""COMPUTED_VALUE"""),0.07224537037037038)</f>
        <v>0.07224537037</v>
      </c>
      <c r="Q20" s="151"/>
      <c r="R20" s="140"/>
      <c r="S20" s="140"/>
    </row>
    <row r="21" ht="33.75" customHeight="1">
      <c r="A21" s="140"/>
      <c r="B21" s="140"/>
      <c r="C21" s="147">
        <f>IFERROR(__xludf.DUMMYFUNCTION("""COMPUTED_VALUE"""),765327.0)</f>
        <v>765327</v>
      </c>
      <c r="D21" s="148" t="str">
        <f>IFERROR(__xludf.DUMMYFUNCTION("""COMPUTED_VALUE"""),"Data Fluency: Exploring and Describing Data")</f>
        <v>Data Fluency: Exploring and Describing Data</v>
      </c>
      <c r="E21" s="147" t="str">
        <f>IFERROR(__xludf.DUMMYFUNCTION("""COMPUTED_VALUE"""),"General")</f>
        <v>General</v>
      </c>
      <c r="F21" s="141" t="str">
        <f>IFERROR(__xludf.DUMMYFUNCTION("""COMPUTED_VALUE"""),"Beginner")</f>
        <v>Beginner</v>
      </c>
      <c r="G21" s="143">
        <f>IFERROR(__xludf.DUMMYFUNCTION("""COMPUTED_VALUE"""),0.17996527777777777)</f>
        <v>0.1799652778</v>
      </c>
      <c r="H21" s="151"/>
      <c r="I21" s="140"/>
      <c r="J21" s="140"/>
      <c r="K21" s="140"/>
      <c r="L21" s="147">
        <f>IFERROR(__xludf.DUMMYFUNCTION("""COMPUTED_VALUE"""),2823568.0)</f>
        <v>2823568</v>
      </c>
      <c r="M21" s="148" t="str">
        <f>IFERROR(__xludf.DUMMYFUNCTION("""COMPUTED_VALUE"""),"How to Turn Your Entrepreneur Journey into a Successful Keynote Talk")</f>
        <v>How to Turn Your Entrepreneur Journey into a Successful Keynote Talk</v>
      </c>
      <c r="N21" s="147" t="str">
        <f>IFERROR(__xludf.DUMMYFUNCTION("""COMPUTED_VALUE"""),"General")</f>
        <v>General</v>
      </c>
      <c r="O21" s="141" t="str">
        <f>IFERROR(__xludf.DUMMYFUNCTION("""COMPUTED_VALUE"""),"Beginner")</f>
        <v>Beginner</v>
      </c>
      <c r="P21" s="143">
        <f>IFERROR(__xludf.DUMMYFUNCTION("""COMPUTED_VALUE"""),0.029837962962962962)</f>
        <v>0.02983796296</v>
      </c>
      <c r="Q21" s="151"/>
      <c r="R21" s="140"/>
      <c r="S21" s="140"/>
    </row>
    <row r="22" ht="33.75" customHeight="1">
      <c r="A22" s="140"/>
      <c r="B22" s="140"/>
      <c r="C22" s="147">
        <f>IFERROR(__xludf.DUMMYFUNCTION("""COMPUTED_VALUE"""),664826.0)</f>
        <v>664826</v>
      </c>
      <c r="D22" s="148" t="str">
        <f>IFERROR(__xludf.DUMMYFUNCTION("""COMPUTED_VALUE"""),"Data Science Tools of the Trade: First Steps")</f>
        <v>Data Science Tools of the Trade: First Steps</v>
      </c>
      <c r="E22" s="147" t="str">
        <f>IFERROR(__xludf.DUMMYFUNCTION("""COMPUTED_VALUE"""),"General")</f>
        <v>General</v>
      </c>
      <c r="F22" s="141" t="str">
        <f>IFERROR(__xludf.DUMMYFUNCTION("""COMPUTED_VALUE"""),"Beginner")</f>
        <v>Beginner</v>
      </c>
      <c r="G22" s="143">
        <f>IFERROR(__xludf.DUMMYFUNCTION("""COMPUTED_VALUE"""),0.09956018518518518)</f>
        <v>0.09956018519</v>
      </c>
      <c r="H22" s="151"/>
      <c r="I22" s="140"/>
      <c r="J22" s="140"/>
      <c r="K22" s="140"/>
      <c r="L22" s="147">
        <f>IFERROR(__xludf.DUMMYFUNCTION("""COMPUTED_VALUE"""),2853001.0)</f>
        <v>2853001</v>
      </c>
      <c r="M22" s="148" t="str">
        <f>IFERROR(__xludf.DUMMYFUNCTION("""COMPUTED_VALUE"""),"Empathy in Business: Design for Success")</f>
        <v>Empathy in Business: Design for Success</v>
      </c>
      <c r="N22" s="147" t="str">
        <f>IFERROR(__xludf.DUMMYFUNCTION("""COMPUTED_VALUE"""),"General")</f>
        <v>General</v>
      </c>
      <c r="O22" s="141" t="str">
        <f>IFERROR(__xludf.DUMMYFUNCTION("""COMPUTED_VALUE"""),"Beginner")</f>
        <v>Beginner</v>
      </c>
      <c r="P22" s="143">
        <f>IFERROR(__xludf.DUMMYFUNCTION("""COMPUTED_VALUE"""),0.031469907407407405)</f>
        <v>0.03146990741</v>
      </c>
      <c r="Q22" s="151"/>
      <c r="R22" s="140"/>
      <c r="S22" s="140"/>
    </row>
    <row r="23" ht="33.75" customHeight="1">
      <c r="A23" s="140"/>
      <c r="B23" s="140"/>
      <c r="C23" s="147">
        <f>IFERROR(__xludf.DUMMYFUNCTION("""COMPUTED_VALUE"""),806168.0)</f>
        <v>806168</v>
      </c>
      <c r="D23" s="148" t="str">
        <f>IFERROR(__xludf.DUMMYFUNCTION("""COMPUTED_VALUE"""),"Learning Excel: Data Analysis")</f>
        <v>Learning Excel: Data Analysis</v>
      </c>
      <c r="E23" s="147" t="str">
        <f>IFERROR(__xludf.DUMMYFUNCTION("""COMPUTED_VALUE"""),"General")</f>
        <v>General</v>
      </c>
      <c r="F23" s="141" t="str">
        <f>IFERROR(__xludf.DUMMYFUNCTION("""COMPUTED_VALUE"""),"Beginner")</f>
        <v>Beginner</v>
      </c>
      <c r="G23" s="143">
        <f>IFERROR(__xludf.DUMMYFUNCTION("""COMPUTED_VALUE"""),0.09005787037037037)</f>
        <v>0.09005787037</v>
      </c>
      <c r="H23" s="151"/>
      <c r="I23" s="140"/>
      <c r="J23" s="140"/>
      <c r="K23" s="140"/>
      <c r="L23" s="147">
        <f>IFERROR(__xludf.DUMMYFUNCTION("""COMPUTED_VALUE"""),2864218.0)</f>
        <v>2864218</v>
      </c>
      <c r="M23" s="148" t="str">
        <f>IFERROR(__xludf.DUMMYFUNCTION("""COMPUTED_VALUE"""),"Pivoting to Virtual Events")</f>
        <v>Pivoting to Virtual Events</v>
      </c>
      <c r="N23" s="147" t="str">
        <f>IFERROR(__xludf.DUMMYFUNCTION("""COMPUTED_VALUE"""),"General")</f>
        <v>General</v>
      </c>
      <c r="O23" s="141" t="str">
        <f>IFERROR(__xludf.DUMMYFUNCTION("""COMPUTED_VALUE"""),"Beginner")</f>
        <v>Beginner</v>
      </c>
      <c r="P23" s="143">
        <f>IFERROR(__xludf.DUMMYFUNCTION("""COMPUTED_VALUE"""),0.03523148148148148)</f>
        <v>0.03523148148</v>
      </c>
      <c r="Q23" s="151"/>
      <c r="R23" s="140"/>
      <c r="S23" s="140"/>
    </row>
    <row r="24" ht="33.75" customHeight="1">
      <c r="A24" s="140"/>
      <c r="B24" s="140"/>
      <c r="C24" s="147">
        <f>IFERROR(__xludf.DUMMYFUNCTION("""COMPUTED_VALUE"""),672259.0)</f>
        <v>672259</v>
      </c>
      <c r="D24" s="148" t="str">
        <f>IFERROR(__xludf.DUMMYFUNCTION("""COMPUTED_VALUE"""),"SQL for Exploratory Data Analysis Essential Training")</f>
        <v>SQL for Exploratory Data Analysis Essential Training</v>
      </c>
      <c r="E24" s="147" t="str">
        <f>IFERROR(__xludf.DUMMYFUNCTION("""COMPUTED_VALUE"""),"General")</f>
        <v>General</v>
      </c>
      <c r="F24" s="141" t="str">
        <f>IFERROR(__xludf.DUMMYFUNCTION("""COMPUTED_VALUE"""),"Beginner")</f>
        <v>Beginner</v>
      </c>
      <c r="G24" s="143">
        <f>IFERROR(__xludf.DUMMYFUNCTION("""COMPUTED_VALUE"""),0.030636574074074073)</f>
        <v>0.03063657407</v>
      </c>
      <c r="H24" s="151"/>
      <c r="I24" s="140"/>
      <c r="J24" s="140"/>
      <c r="K24" s="140"/>
      <c r="L24" s="147">
        <f>IFERROR(__xludf.DUMMYFUNCTION("""COMPUTED_VALUE"""),2822030.0)</f>
        <v>2822030</v>
      </c>
      <c r="M24" s="148" t="str">
        <f>IFERROR(__xludf.DUMMYFUNCTION("""COMPUTED_VALUE"""),"Components of Effective Learning")</f>
        <v>Components of Effective Learning</v>
      </c>
      <c r="N24" s="147" t="str">
        <f>IFERROR(__xludf.DUMMYFUNCTION("""COMPUTED_VALUE"""),"General")</f>
        <v>General</v>
      </c>
      <c r="O24" s="141" t="str">
        <f>IFERROR(__xludf.DUMMYFUNCTION("""COMPUTED_VALUE"""),"Beginner")</f>
        <v>Beginner</v>
      </c>
      <c r="P24" s="143">
        <f>IFERROR(__xludf.DUMMYFUNCTION("""COMPUTED_VALUE"""),0.036099537037037034)</f>
        <v>0.03609953704</v>
      </c>
      <c r="Q24" s="151"/>
      <c r="R24" s="140"/>
      <c r="S24" s="140"/>
    </row>
    <row r="25" ht="33.75" customHeight="1">
      <c r="A25" s="140"/>
      <c r="B25" s="140"/>
      <c r="C25" s="147">
        <f>IFERROR(__xludf.DUMMYFUNCTION("""COMPUTED_VALUE"""),2811017.0)</f>
        <v>2811017</v>
      </c>
      <c r="D25" s="148" t="str">
        <f>IFERROR(__xludf.DUMMYFUNCTION("""COMPUTED_VALUE"""),"Studying for the Certified Business Analysis Professional (CBAP)®")</f>
        <v>Studying for the Certified Business Analysis Professional (CBAP)®</v>
      </c>
      <c r="E25" s="147" t="str">
        <f>IFERROR(__xludf.DUMMYFUNCTION("""COMPUTED_VALUE"""),"General")</f>
        <v>General</v>
      </c>
      <c r="F25" s="141" t="str">
        <f>IFERROR(__xludf.DUMMYFUNCTION("""COMPUTED_VALUE"""),"Beginner")</f>
        <v>Beginner</v>
      </c>
      <c r="G25" s="143">
        <f>IFERROR(__xludf.DUMMYFUNCTION("""COMPUTED_VALUE"""),0.043287037037037034)</f>
        <v>0.04328703704</v>
      </c>
      <c r="H25" s="151"/>
      <c r="I25" s="140"/>
      <c r="J25" s="140"/>
      <c r="K25" s="140"/>
      <c r="L25" s="147">
        <f>IFERROR(__xludf.DUMMYFUNCTION("""COMPUTED_VALUE"""),2887137.0)</f>
        <v>2887137</v>
      </c>
      <c r="M25" s="148" t="str">
        <f>IFERROR(__xludf.DUMMYFUNCTION("""COMPUTED_VALUE"""),"Producing Screencast Videos on a PC")</f>
        <v>Producing Screencast Videos on a PC</v>
      </c>
      <c r="N25" s="147" t="str">
        <f>IFERROR(__xludf.DUMMYFUNCTION("""COMPUTED_VALUE"""),"General")</f>
        <v>General</v>
      </c>
      <c r="O25" s="141" t="str">
        <f>IFERROR(__xludf.DUMMYFUNCTION("""COMPUTED_VALUE"""),"Beginner")</f>
        <v>Beginner</v>
      </c>
      <c r="P25" s="143">
        <f>IFERROR(__xludf.DUMMYFUNCTION("""COMPUTED_VALUE"""),0.10951388888888888)</f>
        <v>0.1095138889</v>
      </c>
      <c r="Q25" s="151"/>
      <c r="R25" s="140"/>
      <c r="S25" s="140"/>
    </row>
    <row r="26" ht="33.75" customHeight="1">
      <c r="A26" s="140"/>
      <c r="B26" s="140"/>
      <c r="C26" s="147">
        <f>IFERROR(__xludf.DUMMYFUNCTION("""COMPUTED_VALUE"""),2804664.0)</f>
        <v>2804664</v>
      </c>
      <c r="D26" s="148" t="str">
        <f>IFERROR(__xludf.DUMMYFUNCTION("""COMPUTED_VALUE"""),"Introducing AI to Your Organization")</f>
        <v>Introducing AI to Your Organization</v>
      </c>
      <c r="E26" s="147" t="str">
        <f>IFERROR(__xludf.DUMMYFUNCTION("""COMPUTED_VALUE"""),"General")</f>
        <v>General</v>
      </c>
      <c r="F26" s="141" t="str">
        <f>IFERROR(__xludf.DUMMYFUNCTION("""COMPUTED_VALUE"""),"Beginner")</f>
        <v>Beginner</v>
      </c>
      <c r="G26" s="143">
        <f>IFERROR(__xludf.DUMMYFUNCTION("""COMPUTED_VALUE"""),0.03709490740740741)</f>
        <v>0.03709490741</v>
      </c>
      <c r="H26" s="151"/>
      <c r="I26" s="140"/>
      <c r="J26" s="140"/>
      <c r="K26" s="140"/>
      <c r="L26" s="147">
        <f>IFERROR(__xludf.DUMMYFUNCTION("""COMPUTED_VALUE"""),2428537.0)</f>
        <v>2428537</v>
      </c>
      <c r="M26" s="148" t="str">
        <f>IFERROR(__xludf.DUMMYFUNCTION("""COMPUTED_VALUE"""),"Getting Started as a LinkedIn Learning Hub Admin")</f>
        <v>Getting Started as a LinkedIn Learning Hub Admin</v>
      </c>
      <c r="N26" s="147" t="str">
        <f>IFERROR(__xludf.DUMMYFUNCTION("""COMPUTED_VALUE"""),"General")</f>
        <v>General</v>
      </c>
      <c r="O26" s="141" t="str">
        <f>IFERROR(__xludf.DUMMYFUNCTION("""COMPUTED_VALUE"""),"Beginner")</f>
        <v>Beginner</v>
      </c>
      <c r="P26" s="143">
        <f>IFERROR(__xludf.DUMMYFUNCTION("""COMPUTED_VALUE"""),0.05219907407407407)</f>
        <v>0.05219907407</v>
      </c>
      <c r="Q26" s="151"/>
      <c r="R26" s="140"/>
      <c r="S26" s="140"/>
    </row>
    <row r="27" ht="33.75" customHeight="1">
      <c r="A27" s="140"/>
      <c r="B27" s="140"/>
      <c r="C27" s="147">
        <f>IFERROR(__xludf.DUMMYFUNCTION("""COMPUTED_VALUE"""),2823034.0)</f>
        <v>2823034</v>
      </c>
      <c r="D27" s="148" t="str">
        <f>IFERROR(__xludf.DUMMYFUNCTION("""COMPUTED_VALUE"""),"SAS® 9.4 Cert Prep: Part 05 Analyzing and Reporting on Data")</f>
        <v>SAS® 9.4 Cert Prep: Part 05 Analyzing and Reporting on Data</v>
      </c>
      <c r="E27" s="147" t="str">
        <f>IFERROR(__xludf.DUMMYFUNCTION("""COMPUTED_VALUE"""),"General")</f>
        <v>General</v>
      </c>
      <c r="F27" s="141" t="str">
        <f>IFERROR(__xludf.DUMMYFUNCTION("""COMPUTED_VALUE"""),"Beginner")</f>
        <v>Beginner</v>
      </c>
      <c r="G27" s="143">
        <f>IFERROR(__xludf.DUMMYFUNCTION("""COMPUTED_VALUE"""),0.01761574074074074)</f>
        <v>0.01761574074</v>
      </c>
      <c r="H27" s="151"/>
      <c r="I27" s="140"/>
      <c r="J27" s="140"/>
      <c r="K27" s="140"/>
      <c r="L27" s="147">
        <f>IFERROR(__xludf.DUMMYFUNCTION("""COMPUTED_VALUE"""),2895590.0)</f>
        <v>2895590</v>
      </c>
      <c r="M27" s="148" t="str">
        <f>IFERROR(__xludf.DUMMYFUNCTION("""COMPUTED_VALUE"""),"Foundations of Learning Management Systems (LMS)")</f>
        <v>Foundations of Learning Management Systems (LMS)</v>
      </c>
      <c r="N27" s="147" t="str">
        <f>IFERROR(__xludf.DUMMYFUNCTION("""COMPUTED_VALUE"""),"General")</f>
        <v>General</v>
      </c>
      <c r="O27" s="141" t="str">
        <f>IFERROR(__xludf.DUMMYFUNCTION("""COMPUTED_VALUE"""),"Beginner")</f>
        <v>Beginner</v>
      </c>
      <c r="P27" s="143">
        <f>IFERROR(__xludf.DUMMYFUNCTION("""COMPUTED_VALUE"""),0.02767361111111111)</f>
        <v>0.02767361111</v>
      </c>
      <c r="Q27" s="151"/>
      <c r="R27" s="140"/>
      <c r="S27" s="140"/>
    </row>
    <row r="28" ht="33.75" customHeight="1">
      <c r="A28" s="140"/>
      <c r="B28" s="140"/>
      <c r="C28" s="147">
        <f>IFERROR(__xludf.DUMMYFUNCTION("""COMPUTED_VALUE"""),2822592.0)</f>
        <v>2822592</v>
      </c>
      <c r="D28" s="148" t="str">
        <f>IFERROR(__xludf.DUMMYFUNCTION("""COMPUTED_VALUE"""),"Introduction to Business Analytics")</f>
        <v>Introduction to Business Analytics</v>
      </c>
      <c r="E28" s="147" t="str">
        <f>IFERROR(__xludf.DUMMYFUNCTION("""COMPUTED_VALUE"""),"General")</f>
        <v>General</v>
      </c>
      <c r="F28" s="141" t="str">
        <f>IFERROR(__xludf.DUMMYFUNCTION("""COMPUTED_VALUE"""),"Beginner")</f>
        <v>Beginner</v>
      </c>
      <c r="G28" s="143">
        <f>IFERROR(__xludf.DUMMYFUNCTION("""COMPUTED_VALUE"""),0.05717592592592593)</f>
        <v>0.05717592593</v>
      </c>
      <c r="H28" s="151"/>
      <c r="I28" s="140"/>
      <c r="J28" s="140"/>
      <c r="K28" s="140"/>
      <c r="L28" s="147">
        <f>IFERROR(__xludf.DUMMYFUNCTION("""COMPUTED_VALUE"""),5035801.0)</f>
        <v>5035801</v>
      </c>
      <c r="M28" s="148" t="str">
        <f>IFERROR(__xludf.DUMMYFUNCTION("""COMPUTED_VALUE"""),"Cert Prep: Adobe Certified Associate - InDesign")</f>
        <v>Cert Prep: Adobe Certified Associate - InDesign</v>
      </c>
      <c r="N28" s="147" t="str">
        <f>IFERROR(__xludf.DUMMYFUNCTION("""COMPUTED_VALUE"""),"General")</f>
        <v>General</v>
      </c>
      <c r="O28" s="141" t="str">
        <f>IFERROR(__xludf.DUMMYFUNCTION("""COMPUTED_VALUE"""),"Beginner + Intermediate")</f>
        <v>Beginner + Intermediate</v>
      </c>
      <c r="P28" s="143">
        <f>IFERROR(__xludf.DUMMYFUNCTION("""COMPUTED_VALUE"""),0.17017361111111112)</f>
        <v>0.1701736111</v>
      </c>
      <c r="Q28" s="151"/>
      <c r="R28" s="140"/>
      <c r="S28" s="140"/>
    </row>
    <row r="29" ht="33.75" customHeight="1">
      <c r="A29" s="140"/>
      <c r="B29" s="140"/>
      <c r="C29" s="147">
        <f>IFERROR(__xludf.DUMMYFUNCTION("""COMPUTED_VALUE"""),2825620.0)</f>
        <v>2825620</v>
      </c>
      <c r="D29" s="148" t="str">
        <f>IFERROR(__xludf.DUMMYFUNCTION("""COMPUTED_VALUE"""),"Business Analytics: Marketing Data")</f>
        <v>Business Analytics: Marketing Data</v>
      </c>
      <c r="E29" s="147" t="str">
        <f>IFERROR(__xludf.DUMMYFUNCTION("""COMPUTED_VALUE"""),"General")</f>
        <v>General</v>
      </c>
      <c r="F29" s="141" t="str">
        <f>IFERROR(__xludf.DUMMYFUNCTION("""COMPUTED_VALUE"""),"Beginner")</f>
        <v>Beginner</v>
      </c>
      <c r="G29" s="143">
        <f>IFERROR(__xludf.DUMMYFUNCTION("""COMPUTED_VALUE"""),0.0240625)</f>
        <v>0.0240625</v>
      </c>
      <c r="H29" s="151"/>
      <c r="I29" s="140"/>
      <c r="J29" s="140"/>
      <c r="K29" s="140"/>
      <c r="L29" s="147">
        <f>IFERROR(__xludf.DUMMYFUNCTION("""COMPUTED_VALUE"""),5030976.0)</f>
        <v>5030976</v>
      </c>
      <c r="M29" s="148" t="str">
        <f>IFERROR(__xludf.DUMMYFUNCTION("""COMPUTED_VALUE"""),"Graphic Design Foundations: Ideas, Concepts, and Form")</f>
        <v>Graphic Design Foundations: Ideas, Concepts, and Form</v>
      </c>
      <c r="N29" s="147" t="str">
        <f>IFERROR(__xludf.DUMMYFUNCTION("""COMPUTED_VALUE"""),"General")</f>
        <v>General</v>
      </c>
      <c r="O29" s="141" t="str">
        <f>IFERROR(__xludf.DUMMYFUNCTION("""COMPUTED_VALUE"""),"Beginner + Intermediate")</f>
        <v>Beginner + Intermediate</v>
      </c>
      <c r="P29" s="143">
        <f>IFERROR(__xludf.DUMMYFUNCTION("""COMPUTED_VALUE"""),0.05987268518518519)</f>
        <v>0.05987268519</v>
      </c>
      <c r="Q29" s="151"/>
      <c r="R29" s="140"/>
      <c r="S29" s="140"/>
    </row>
    <row r="30" ht="33.75" customHeight="1">
      <c r="A30" s="140"/>
      <c r="B30" s="140"/>
      <c r="C30" s="147">
        <f>IFERROR(__xludf.DUMMYFUNCTION("""COMPUTED_VALUE"""),2823513.0)</f>
        <v>2823513</v>
      </c>
      <c r="D30" s="148" t="str">
        <f>IFERROR(__xludf.DUMMYFUNCTION("""COMPUTED_VALUE"""),"Business Analytics: Sales Data")</f>
        <v>Business Analytics: Sales Data</v>
      </c>
      <c r="E30" s="147" t="str">
        <f>IFERROR(__xludf.DUMMYFUNCTION("""COMPUTED_VALUE"""),"General")</f>
        <v>General</v>
      </c>
      <c r="F30" s="141" t="str">
        <f>IFERROR(__xludf.DUMMYFUNCTION("""COMPUTED_VALUE"""),"Beginner")</f>
        <v>Beginner</v>
      </c>
      <c r="G30" s="143">
        <f>IFERROR(__xludf.DUMMYFUNCTION("""COMPUTED_VALUE"""),0.03740740740740741)</f>
        <v>0.03740740741</v>
      </c>
      <c r="H30" s="151"/>
      <c r="I30" s="140"/>
      <c r="J30" s="140"/>
      <c r="K30" s="140"/>
      <c r="L30" s="147">
        <f>IFERROR(__xludf.DUMMYFUNCTION("""COMPUTED_VALUE"""),2840016.0)</f>
        <v>2840016</v>
      </c>
      <c r="M30" s="148" t="str">
        <f>IFERROR(__xludf.DUMMYFUNCTION("""COMPUTED_VALUE"""),"Design Thinking: Implementing the Process")</f>
        <v>Design Thinking: Implementing the Process</v>
      </c>
      <c r="N30" s="147" t="str">
        <f>IFERROR(__xludf.DUMMYFUNCTION("""COMPUTED_VALUE"""),"General")</f>
        <v>General</v>
      </c>
      <c r="O30" s="141" t="str">
        <f>IFERROR(__xludf.DUMMYFUNCTION("""COMPUTED_VALUE"""),"Beginner + Intermediate")</f>
        <v>Beginner + Intermediate</v>
      </c>
      <c r="P30" s="143">
        <f>IFERROR(__xludf.DUMMYFUNCTION("""COMPUTED_VALUE"""),0.03221064814814815)</f>
        <v>0.03221064815</v>
      </c>
      <c r="Q30" s="151"/>
      <c r="R30" s="140"/>
      <c r="S30" s="140"/>
    </row>
    <row r="31" ht="33.75" customHeight="1">
      <c r="A31" s="140"/>
      <c r="B31" s="140"/>
      <c r="C31" s="147">
        <f>IFERROR(__xludf.DUMMYFUNCTION("""COMPUTED_VALUE"""),5035820.0)</f>
        <v>5035820</v>
      </c>
      <c r="D31" s="148" t="str">
        <f>IFERROR(__xludf.DUMMYFUNCTION("""COMPUTED_VALUE"""),"Ethics and Law in Data Analytics")</f>
        <v>Ethics and Law in Data Analytics</v>
      </c>
      <c r="E31" s="147" t="str">
        <f>IFERROR(__xludf.DUMMYFUNCTION("""COMPUTED_VALUE"""),"General")</f>
        <v>General</v>
      </c>
      <c r="F31" s="141" t="str">
        <f>IFERROR(__xludf.DUMMYFUNCTION("""COMPUTED_VALUE"""),"Beginner")</f>
        <v>Beginner</v>
      </c>
      <c r="G31" s="143">
        <f>IFERROR(__xludf.DUMMYFUNCTION("""COMPUTED_VALUE"""),0.16091435185185185)</f>
        <v>0.1609143519</v>
      </c>
      <c r="H31" s="151"/>
      <c r="I31" s="140"/>
      <c r="J31" s="140"/>
      <c r="K31" s="140"/>
      <c r="L31" s="147">
        <f>IFERROR(__xludf.DUMMYFUNCTION("""COMPUTED_VALUE"""),667377.0)</f>
        <v>667377</v>
      </c>
      <c r="M31" s="148" t="str">
        <f>IFERROR(__xludf.DUMMYFUNCTION("""COMPUTED_VALUE"""),"Articulate 360: Interactive Learning")</f>
        <v>Articulate 360: Interactive Learning</v>
      </c>
      <c r="N31" s="147" t="str">
        <f>IFERROR(__xludf.DUMMYFUNCTION("""COMPUTED_VALUE"""),"General")</f>
        <v>General</v>
      </c>
      <c r="O31" s="141" t="str">
        <f>IFERROR(__xludf.DUMMYFUNCTION("""COMPUTED_VALUE"""),"Intermediate")</f>
        <v>Intermediate</v>
      </c>
      <c r="P31" s="143">
        <f>IFERROR(__xludf.DUMMYFUNCTION("""COMPUTED_VALUE"""),0.08788194444444444)</f>
        <v>0.08788194444</v>
      </c>
      <c r="Q31" s="151"/>
      <c r="R31" s="140"/>
      <c r="S31" s="140"/>
    </row>
    <row r="32" ht="33.75" customHeight="1">
      <c r="A32" s="140"/>
      <c r="B32" s="140"/>
      <c r="C32" s="147">
        <f>IFERROR(__xludf.DUMMYFUNCTION("""COMPUTED_VALUE"""),2841519.0)</f>
        <v>2841519</v>
      </c>
      <c r="D32" s="148" t="str">
        <f>IFERROR(__xludf.DUMMYFUNCTION("""COMPUTED_VALUE"""),"Power BI: Dashboards for Beginners")</f>
        <v>Power BI: Dashboards for Beginners</v>
      </c>
      <c r="E32" s="147" t="str">
        <f>IFERROR(__xludf.DUMMYFUNCTION("""COMPUTED_VALUE"""),"General")</f>
        <v>General</v>
      </c>
      <c r="F32" s="141" t="str">
        <f>IFERROR(__xludf.DUMMYFUNCTION("""COMPUTED_VALUE"""),"Beginner")</f>
        <v>Beginner</v>
      </c>
      <c r="G32" s="143">
        <f>IFERROR(__xludf.DUMMYFUNCTION("""COMPUTED_VALUE"""),0.020497685185185185)</f>
        <v>0.02049768519</v>
      </c>
      <c r="H32" s="151"/>
      <c r="I32" s="140"/>
      <c r="J32" s="140"/>
      <c r="K32" s="140"/>
      <c r="L32" s="147">
        <f>IFERROR(__xludf.DUMMYFUNCTION("""COMPUTED_VALUE"""),647671.0)</f>
        <v>647671</v>
      </c>
      <c r="M32" s="148" t="str">
        <f>IFERROR(__xludf.DUMMYFUNCTION("""COMPUTED_VALUE"""),"Gaining Internal Buy-In for Elearning Training")</f>
        <v>Gaining Internal Buy-In for Elearning Training</v>
      </c>
      <c r="N32" s="147" t="str">
        <f>IFERROR(__xludf.DUMMYFUNCTION("""COMPUTED_VALUE"""),"General")</f>
        <v>General</v>
      </c>
      <c r="O32" s="141" t="str">
        <f>IFERROR(__xludf.DUMMYFUNCTION("""COMPUTED_VALUE"""),"Intermediate")</f>
        <v>Intermediate</v>
      </c>
      <c r="P32" s="143">
        <f>IFERROR(__xludf.DUMMYFUNCTION("""COMPUTED_VALUE"""),0.029305555555555557)</f>
        <v>0.02930555556</v>
      </c>
      <c r="Q32" s="151"/>
      <c r="R32" s="140"/>
      <c r="S32" s="140"/>
    </row>
    <row r="33" ht="33.75" customHeight="1">
      <c r="A33" s="140"/>
      <c r="B33" s="140"/>
      <c r="C33" s="147">
        <f>IFERROR(__xludf.DUMMYFUNCTION("""COMPUTED_VALUE"""),2857067.0)</f>
        <v>2857067</v>
      </c>
      <c r="D33" s="148" t="str">
        <f>IFERROR(__xludf.DUMMYFUNCTION("""COMPUTED_VALUE"""),"15 Tips for Landing a Data Science Job")</f>
        <v>15 Tips for Landing a Data Science Job</v>
      </c>
      <c r="E33" s="147" t="str">
        <f>IFERROR(__xludf.DUMMYFUNCTION("""COMPUTED_VALUE"""),"General")</f>
        <v>General</v>
      </c>
      <c r="F33" s="141" t="str">
        <f>IFERROR(__xludf.DUMMYFUNCTION("""COMPUTED_VALUE"""),"Beginner")</f>
        <v>Beginner</v>
      </c>
      <c r="G33" s="143">
        <f>IFERROR(__xludf.DUMMYFUNCTION("""COMPUTED_VALUE"""),0.02309027777777778)</f>
        <v>0.02309027778</v>
      </c>
      <c r="H33" s="151"/>
      <c r="I33" s="140"/>
      <c r="J33" s="140"/>
      <c r="K33" s="140"/>
      <c r="L33" s="147">
        <f>IFERROR(__xludf.DUMMYFUNCTION("""COMPUTED_VALUE"""),2823559.0)</f>
        <v>2823559</v>
      </c>
      <c r="M33" s="148" t="str">
        <f>IFERROR(__xludf.DUMMYFUNCTION("""COMPUTED_VALUE"""),"The Future of Workplace Learning")</f>
        <v>The Future of Workplace Learning</v>
      </c>
      <c r="N33" s="147" t="str">
        <f>IFERROR(__xludf.DUMMYFUNCTION("""COMPUTED_VALUE"""),"General")</f>
        <v>General</v>
      </c>
      <c r="O33" s="141" t="str">
        <f>IFERROR(__xludf.DUMMYFUNCTION("""COMPUTED_VALUE"""),"Intermediate")</f>
        <v>Intermediate</v>
      </c>
      <c r="P33" s="143">
        <f>IFERROR(__xludf.DUMMYFUNCTION("""COMPUTED_VALUE"""),0.015671296296296298)</f>
        <v>0.0156712963</v>
      </c>
      <c r="Q33" s="151"/>
      <c r="R33" s="140"/>
      <c r="S33" s="140"/>
    </row>
    <row r="34" ht="33.75" customHeight="1">
      <c r="A34" s="140"/>
      <c r="B34" s="140"/>
      <c r="C34" s="147">
        <f>IFERROR(__xludf.DUMMYFUNCTION("""COMPUTED_VALUE"""),2881017.0)</f>
        <v>2881017</v>
      </c>
      <c r="D34" s="148" t="str">
        <f>IFERROR(__xludf.DUMMYFUNCTION("""COMPUTED_VALUE"""),"How to Use Data Visualization to Make Better Decisions—Faster")</f>
        <v>How to Use Data Visualization to Make Better Decisions—Faster</v>
      </c>
      <c r="E34" s="147" t="str">
        <f>IFERROR(__xludf.DUMMYFUNCTION("""COMPUTED_VALUE"""),"General")</f>
        <v>General</v>
      </c>
      <c r="F34" s="141" t="str">
        <f>IFERROR(__xludf.DUMMYFUNCTION("""COMPUTED_VALUE"""),"Beginner")</f>
        <v>Beginner</v>
      </c>
      <c r="G34" s="143">
        <f>IFERROR(__xludf.DUMMYFUNCTION("""COMPUTED_VALUE"""),0.03546296296296296)</f>
        <v>0.03546296296</v>
      </c>
      <c r="H34" s="151"/>
      <c r="I34" s="140"/>
      <c r="J34" s="140"/>
      <c r="K34" s="140"/>
      <c r="L34" s="147">
        <f>IFERROR(__xludf.DUMMYFUNCTION("""COMPUTED_VALUE"""),2841547.0)</f>
        <v>2841547</v>
      </c>
      <c r="M34" s="148" t="str">
        <f>IFERROR(__xludf.DUMMYFUNCTION("""COMPUTED_VALUE"""),"UX Deep Dive: Remote Research")</f>
        <v>UX Deep Dive: Remote Research</v>
      </c>
      <c r="N34" s="147" t="str">
        <f>IFERROR(__xludf.DUMMYFUNCTION("""COMPUTED_VALUE"""),"General")</f>
        <v>General</v>
      </c>
      <c r="O34" s="141" t="str">
        <f>IFERROR(__xludf.DUMMYFUNCTION("""COMPUTED_VALUE"""),"Intermediate")</f>
        <v>Intermediate</v>
      </c>
      <c r="P34" s="143">
        <f>IFERROR(__xludf.DUMMYFUNCTION("""COMPUTED_VALUE"""),0.018090277777777778)</f>
        <v>0.01809027778</v>
      </c>
      <c r="Q34" s="151"/>
      <c r="R34" s="140"/>
      <c r="S34" s="140"/>
    </row>
    <row r="35" ht="33.75" customHeight="1">
      <c r="A35" s="140"/>
      <c r="B35" s="140"/>
      <c r="C35" s="147">
        <f>IFERROR(__xludf.DUMMYFUNCTION("""COMPUTED_VALUE"""),2894125.0)</f>
        <v>2894125</v>
      </c>
      <c r="D35" s="148" t="str">
        <f>IFERROR(__xludf.DUMMYFUNCTION("""COMPUTED_VALUE"""),"Data Ethics: Watching Out for Data Misuse")</f>
        <v>Data Ethics: Watching Out for Data Misuse</v>
      </c>
      <c r="E35" s="147" t="str">
        <f>IFERROR(__xludf.DUMMYFUNCTION("""COMPUTED_VALUE"""),"General")</f>
        <v>General</v>
      </c>
      <c r="F35" s="141" t="str">
        <f>IFERROR(__xludf.DUMMYFUNCTION("""COMPUTED_VALUE"""),"Beginner")</f>
        <v>Beginner</v>
      </c>
      <c r="G35" s="143">
        <f>IFERROR(__xludf.DUMMYFUNCTION("""COMPUTED_VALUE"""),0.040625)</f>
        <v>0.040625</v>
      </c>
      <c r="H35" s="151"/>
      <c r="I35" s="140"/>
      <c r="J35" s="140"/>
      <c r="K35" s="140"/>
      <c r="L35" s="147">
        <f>IFERROR(__xludf.DUMMYFUNCTION("""COMPUTED_VALUE"""),2841392.0)</f>
        <v>2841392</v>
      </c>
      <c r="M35" s="148" t="str">
        <f>IFERROR(__xludf.DUMMYFUNCTION("""COMPUTED_VALUE"""),"Articulate Storyline 360: Advanced Elearning")</f>
        <v>Articulate Storyline 360: Advanced Elearning</v>
      </c>
      <c r="N35" s="147" t="str">
        <f>IFERROR(__xludf.DUMMYFUNCTION("""COMPUTED_VALUE"""),"General")</f>
        <v>General</v>
      </c>
      <c r="O35" s="141" t="str">
        <f>IFERROR(__xludf.DUMMYFUNCTION("""COMPUTED_VALUE"""),"Intermediate")</f>
        <v>Intermediate</v>
      </c>
      <c r="P35" s="143">
        <f>IFERROR(__xludf.DUMMYFUNCTION("""COMPUTED_VALUE"""),0.12711805555555555)</f>
        <v>0.1271180556</v>
      </c>
      <c r="Q35" s="151"/>
      <c r="R35" s="140"/>
      <c r="S35" s="140"/>
    </row>
    <row r="36" ht="33.75" customHeight="1">
      <c r="A36" s="140"/>
      <c r="B36" s="140"/>
      <c r="C36" s="147">
        <f>IFERROR(__xludf.DUMMYFUNCTION("""COMPUTED_VALUE"""),2890129.0)</f>
        <v>2890129</v>
      </c>
      <c r="D36" s="148" t="str">
        <f>IFERROR(__xludf.DUMMYFUNCTION("""COMPUTED_VALUE"""),"Presenting Data Effectively to Inform and Inspire")</f>
        <v>Presenting Data Effectively to Inform and Inspire</v>
      </c>
      <c r="E36" s="147" t="str">
        <f>IFERROR(__xludf.DUMMYFUNCTION("""COMPUTED_VALUE"""),"General")</f>
        <v>General</v>
      </c>
      <c r="F36" s="141" t="str">
        <f>IFERROR(__xludf.DUMMYFUNCTION("""COMPUTED_VALUE"""),"Beginner")</f>
        <v>Beginner</v>
      </c>
      <c r="G36" s="143">
        <f>IFERROR(__xludf.DUMMYFUNCTION("""COMPUTED_VALUE"""),0.06755787037037037)</f>
        <v>0.06755787037</v>
      </c>
      <c r="H36" s="151"/>
      <c r="I36" s="140"/>
      <c r="J36" s="140"/>
      <c r="K36" s="140"/>
      <c r="L36" s="147">
        <f>IFERROR(__xludf.DUMMYFUNCTION("""COMPUTED_VALUE"""),2809590.0)</f>
        <v>2809590</v>
      </c>
      <c r="M36" s="148" t="str">
        <f>IFERROR(__xludf.DUMMYFUNCTION("""COMPUTED_VALUE"""),"Camtasia 2019 Essential Training: Advanced Techniques")</f>
        <v>Camtasia 2019 Essential Training: Advanced Techniques</v>
      </c>
      <c r="N36" s="147" t="str">
        <f>IFERROR(__xludf.DUMMYFUNCTION("""COMPUTED_VALUE"""),"General")</f>
        <v>General</v>
      </c>
      <c r="O36" s="141" t="str">
        <f>IFERROR(__xludf.DUMMYFUNCTION("""COMPUTED_VALUE"""),"Intermediate")</f>
        <v>Intermediate</v>
      </c>
      <c r="P36" s="143">
        <f>IFERROR(__xludf.DUMMYFUNCTION("""COMPUTED_VALUE"""),0.08684027777777778)</f>
        <v>0.08684027778</v>
      </c>
      <c r="Q36" s="151"/>
      <c r="R36" s="140"/>
      <c r="S36" s="140"/>
    </row>
    <row r="37" ht="33.75" customHeight="1">
      <c r="A37" s="140"/>
      <c r="B37" s="140"/>
      <c r="C37" s="147">
        <f>IFERROR(__xludf.DUMMYFUNCTION("""COMPUTED_VALUE"""),2424659.0)</f>
        <v>2424659</v>
      </c>
      <c r="D37" s="148" t="str">
        <f>IFERROR(__xludf.DUMMYFUNCTION("""COMPUTED_VALUE"""),"Blockchain Basics")</f>
        <v>Blockchain Basics</v>
      </c>
      <c r="E37" s="147" t="str">
        <f>IFERROR(__xludf.DUMMYFUNCTION("""COMPUTED_VALUE"""),"General")</f>
        <v>General</v>
      </c>
      <c r="F37" s="141" t="str">
        <f>IFERROR(__xludf.DUMMYFUNCTION("""COMPUTED_VALUE"""),"Beginner")</f>
        <v>Beginner</v>
      </c>
      <c r="G37" s="143">
        <f>IFERROR(__xludf.DUMMYFUNCTION("""COMPUTED_VALUE"""),0.046377314814814816)</f>
        <v>0.04637731481</v>
      </c>
      <c r="H37" s="151"/>
      <c r="I37" s="140"/>
      <c r="J37" s="140"/>
      <c r="K37" s="140"/>
      <c r="L37" s="147">
        <f>IFERROR(__xludf.DUMMYFUNCTION("""COMPUTED_VALUE"""),2229236.0)</f>
        <v>2229236</v>
      </c>
      <c r="M37" s="148" t="str">
        <f>IFERROR(__xludf.DUMMYFUNCTION("""COMPUTED_VALUE"""),"Designing a Training Program: Setting Goals, Objectives, and Mediums")</f>
        <v>Designing a Training Program: Setting Goals, Objectives, and Mediums</v>
      </c>
      <c r="N37" s="147" t="str">
        <f>IFERROR(__xludf.DUMMYFUNCTION("""COMPUTED_VALUE"""),"General")</f>
        <v>General</v>
      </c>
      <c r="O37" s="141" t="str">
        <f>IFERROR(__xludf.DUMMYFUNCTION("""COMPUTED_VALUE"""),"Intermediate")</f>
        <v>Intermediate</v>
      </c>
      <c r="P37" s="143">
        <f>IFERROR(__xludf.DUMMYFUNCTION("""COMPUTED_VALUE"""),0.020763888888888887)</f>
        <v>0.02076388889</v>
      </c>
      <c r="Q37" s="151"/>
      <c r="R37" s="140"/>
      <c r="S37" s="140"/>
    </row>
    <row r="38" ht="33.75" customHeight="1">
      <c r="A38" s="140"/>
      <c r="B38" s="140"/>
      <c r="C38" s="147">
        <f>IFERROR(__xludf.DUMMYFUNCTION("""COMPUTED_VALUE"""),2460001.0)</f>
        <v>2460001</v>
      </c>
      <c r="D38" s="148" t="str">
        <f>IFERROR(__xludf.DUMMYFUNCTION("""COMPUTED_VALUE"""),"Data Ethics: Making Data-Driven Decisions")</f>
        <v>Data Ethics: Making Data-Driven Decisions</v>
      </c>
      <c r="E38" s="147" t="str">
        <f>IFERROR(__xludf.DUMMYFUNCTION("""COMPUTED_VALUE"""),"General")</f>
        <v>General</v>
      </c>
      <c r="F38" s="141" t="str">
        <f>IFERROR(__xludf.DUMMYFUNCTION("""COMPUTED_VALUE"""),"Beginner")</f>
        <v>Beginner</v>
      </c>
      <c r="G38" s="143">
        <f>IFERROR(__xludf.DUMMYFUNCTION("""COMPUTED_VALUE"""),0.045578703703703705)</f>
        <v>0.0455787037</v>
      </c>
      <c r="H38" s="151"/>
      <c r="I38" s="140"/>
      <c r="J38" s="140"/>
      <c r="K38" s="140"/>
      <c r="L38" s="147">
        <f>IFERROR(__xludf.DUMMYFUNCTION("""COMPUTED_VALUE"""),2820018.0)</f>
        <v>2820018</v>
      </c>
      <c r="M38" s="148" t="str">
        <f>IFERROR(__xludf.DUMMYFUNCTION("""COMPUTED_VALUE"""),"Elearning Tips")</f>
        <v>Elearning Tips</v>
      </c>
      <c r="N38" s="147" t="str">
        <f>IFERROR(__xludf.DUMMYFUNCTION("""COMPUTED_VALUE"""),"General")</f>
        <v>General</v>
      </c>
      <c r="O38" s="141" t="str">
        <f>IFERROR(__xludf.DUMMYFUNCTION("""COMPUTED_VALUE"""),"Intermediate")</f>
        <v>Intermediate</v>
      </c>
      <c r="P38" s="143">
        <f>IFERROR(__xludf.DUMMYFUNCTION("""COMPUTED_VALUE"""),0.04587962962962963)</f>
        <v>0.04587962963</v>
      </c>
      <c r="Q38" s="151"/>
      <c r="R38" s="140"/>
      <c r="S38" s="140"/>
    </row>
    <row r="39" ht="33.75" customHeight="1">
      <c r="A39" s="140"/>
      <c r="B39" s="140"/>
      <c r="C39" s="147">
        <f>IFERROR(__xludf.DUMMYFUNCTION("""COMPUTED_VALUE"""),2805908.0)</f>
        <v>2805908</v>
      </c>
      <c r="D39" s="148" t="str">
        <f>IFERROR(__xludf.DUMMYFUNCTION("""COMPUTED_VALUE"""),"Data Science Foundations: Fundamentals")</f>
        <v>Data Science Foundations: Fundamentals</v>
      </c>
      <c r="E39" s="147" t="str">
        <f>IFERROR(__xludf.DUMMYFUNCTION("""COMPUTED_VALUE"""),"General")</f>
        <v>General</v>
      </c>
      <c r="F39" s="141" t="str">
        <f>IFERROR(__xludf.DUMMYFUNCTION("""COMPUTED_VALUE"""),"Beginner + Intermediate")</f>
        <v>Beginner + Intermediate</v>
      </c>
      <c r="G39" s="143">
        <f>IFERROR(__xludf.DUMMYFUNCTION("""COMPUTED_VALUE"""),0.15413194444444445)</f>
        <v>0.1541319444</v>
      </c>
      <c r="H39" s="151"/>
      <c r="I39" s="140"/>
      <c r="J39" s="140"/>
      <c r="K39" s="140"/>
      <c r="L39" s="147">
        <f>IFERROR(__xludf.DUMMYFUNCTION("""COMPUTED_VALUE"""),2811351.0)</f>
        <v>2811351</v>
      </c>
      <c r="M39" s="148" t="str">
        <f>IFERROR(__xludf.DUMMYFUNCTION("""COMPUTED_VALUE"""),"Practical Success Metrics in Your Training Program")</f>
        <v>Practical Success Metrics in Your Training Program</v>
      </c>
      <c r="N39" s="147" t="str">
        <f>IFERROR(__xludf.DUMMYFUNCTION("""COMPUTED_VALUE"""),"General")</f>
        <v>General</v>
      </c>
      <c r="O39" s="141" t="str">
        <f>IFERROR(__xludf.DUMMYFUNCTION("""COMPUTED_VALUE"""),"Intermediate")</f>
        <v>Intermediate</v>
      </c>
      <c r="P39" s="143">
        <f>IFERROR(__xludf.DUMMYFUNCTION("""COMPUTED_VALUE"""),0.02847222222222222)</f>
        <v>0.02847222222</v>
      </c>
      <c r="Q39" s="151"/>
      <c r="R39" s="140"/>
      <c r="S39" s="140"/>
    </row>
    <row r="40" ht="33.75" customHeight="1">
      <c r="A40" s="140"/>
      <c r="B40" s="140"/>
      <c r="C40" s="147">
        <f>IFERROR(__xludf.DUMMYFUNCTION("""COMPUTED_VALUE"""),5026557.0)</f>
        <v>5026557</v>
      </c>
      <c r="D40" s="148" t="str">
        <f>IFERROR(__xludf.DUMMYFUNCTION("""COMPUTED_VALUE"""),"Excel Statistics Essential Training: 1")</f>
        <v>Excel Statistics Essential Training: 1</v>
      </c>
      <c r="E40" s="147" t="str">
        <f>IFERROR(__xludf.DUMMYFUNCTION("""COMPUTED_VALUE"""),"General")</f>
        <v>General</v>
      </c>
      <c r="F40" s="141" t="str">
        <f>IFERROR(__xludf.DUMMYFUNCTION("""COMPUTED_VALUE"""),"Beginner + Intermediate")</f>
        <v>Beginner + Intermediate</v>
      </c>
      <c r="G40" s="143">
        <f>IFERROR(__xludf.DUMMYFUNCTION("""COMPUTED_VALUE"""),0.15090277777777777)</f>
        <v>0.1509027778</v>
      </c>
      <c r="H40" s="151"/>
      <c r="I40" s="140"/>
      <c r="J40" s="140"/>
      <c r="K40" s="140"/>
      <c r="L40" s="147">
        <f>IFERROR(__xludf.DUMMYFUNCTION("""COMPUTED_VALUE"""),2822411.0)</f>
        <v>2822411</v>
      </c>
      <c r="M40" s="148" t="str">
        <f>IFERROR(__xludf.DUMMYFUNCTION("""COMPUTED_VALUE"""),"Interaction Design: Interface")</f>
        <v>Interaction Design: Interface</v>
      </c>
      <c r="N40" s="147" t="str">
        <f>IFERROR(__xludf.DUMMYFUNCTION("""COMPUTED_VALUE"""),"General")</f>
        <v>General</v>
      </c>
      <c r="O40" s="141" t="str">
        <f>IFERROR(__xludf.DUMMYFUNCTION("""COMPUTED_VALUE"""),"Intermediate")</f>
        <v>Intermediate</v>
      </c>
      <c r="P40" s="143">
        <f>IFERROR(__xludf.DUMMYFUNCTION("""COMPUTED_VALUE"""),0.02263888888888889)</f>
        <v>0.02263888889</v>
      </c>
      <c r="Q40" s="151"/>
      <c r="R40" s="140"/>
      <c r="S40" s="140"/>
    </row>
    <row r="41" ht="33.75" customHeight="1">
      <c r="A41" s="140"/>
      <c r="B41" s="140"/>
      <c r="C41" s="147">
        <f>IFERROR(__xludf.DUMMYFUNCTION("""COMPUTED_VALUE"""),5005071.0)</f>
        <v>5005071</v>
      </c>
      <c r="D41" s="148" t="str">
        <f>IFERROR(__xludf.DUMMYFUNCTION("""COMPUTED_VALUE"""),"Learning Data Visualization")</f>
        <v>Learning Data Visualization</v>
      </c>
      <c r="E41" s="147" t="str">
        <f>IFERROR(__xludf.DUMMYFUNCTION("""COMPUTED_VALUE"""),"General")</f>
        <v>General</v>
      </c>
      <c r="F41" s="141" t="str">
        <f>IFERROR(__xludf.DUMMYFUNCTION("""COMPUTED_VALUE"""),"Beginner + Intermediate")</f>
        <v>Beginner + Intermediate</v>
      </c>
      <c r="G41" s="143">
        <f>IFERROR(__xludf.DUMMYFUNCTION("""COMPUTED_VALUE"""),0.15940972222222222)</f>
        <v>0.1594097222</v>
      </c>
      <c r="H41" s="151"/>
      <c r="I41" s="140"/>
      <c r="J41" s="140"/>
      <c r="K41" s="140"/>
      <c r="L41" s="147">
        <f>IFERROR(__xludf.DUMMYFUNCTION("""COMPUTED_VALUE"""),2822428.0)</f>
        <v>2822428</v>
      </c>
      <c r="M41" s="148" t="str">
        <f>IFERROR(__xludf.DUMMYFUNCTION("""COMPUTED_VALUE"""),"Applied Interaction Design: Managing Comments")</f>
        <v>Applied Interaction Design: Managing Comments</v>
      </c>
      <c r="N41" s="147" t="str">
        <f>IFERROR(__xludf.DUMMYFUNCTION("""COMPUTED_VALUE"""),"General")</f>
        <v>General</v>
      </c>
      <c r="O41" s="141" t="str">
        <f>IFERROR(__xludf.DUMMYFUNCTION("""COMPUTED_VALUE"""),"Intermediate")</f>
        <v>Intermediate</v>
      </c>
      <c r="P41" s="143">
        <f>IFERROR(__xludf.DUMMYFUNCTION("""COMPUTED_VALUE"""),0.01664351851851852)</f>
        <v>0.01664351852</v>
      </c>
      <c r="Q41" s="151"/>
      <c r="R41" s="140"/>
      <c r="S41" s="140"/>
    </row>
    <row r="42" ht="33.75" customHeight="1">
      <c r="A42" s="140"/>
      <c r="B42" s="140"/>
      <c r="C42" s="147">
        <f>IFERROR(__xludf.DUMMYFUNCTION("""COMPUTED_VALUE"""),2810169.0)</f>
        <v>2810169</v>
      </c>
      <c r="D42" s="148" t="str">
        <f>IFERROR(__xludf.DUMMYFUNCTION("""COMPUTED_VALUE"""),"The Data Game of Fantasy Football")</f>
        <v>The Data Game of Fantasy Football</v>
      </c>
      <c r="E42" s="147" t="str">
        <f>IFERROR(__xludf.DUMMYFUNCTION("""COMPUTED_VALUE"""),"General")</f>
        <v>General</v>
      </c>
      <c r="F42" s="141" t="str">
        <f>IFERROR(__xludf.DUMMYFUNCTION("""COMPUTED_VALUE"""),"Beginner + Intermediate")</f>
        <v>Beginner + Intermediate</v>
      </c>
      <c r="G42" s="143">
        <f>IFERROR(__xludf.DUMMYFUNCTION("""COMPUTED_VALUE"""),0.05694444444444444)</f>
        <v>0.05694444444</v>
      </c>
      <c r="H42" s="151"/>
      <c r="I42" s="140"/>
      <c r="J42" s="140"/>
      <c r="K42" s="140"/>
      <c r="L42" s="147">
        <f>IFERROR(__xludf.DUMMYFUNCTION("""COMPUTED_VALUE"""),2825605.0)</f>
        <v>2825605</v>
      </c>
      <c r="M42" s="148" t="str">
        <f>IFERROR(__xludf.DUMMYFUNCTION("""COMPUTED_VALUE"""),"Adobe Captivate: Advanced Actions")</f>
        <v>Adobe Captivate: Advanced Actions</v>
      </c>
      <c r="N42" s="147" t="str">
        <f>IFERROR(__xludf.DUMMYFUNCTION("""COMPUTED_VALUE"""),"General")</f>
        <v>General</v>
      </c>
      <c r="O42" s="141" t="str">
        <f>IFERROR(__xludf.DUMMYFUNCTION("""COMPUTED_VALUE"""),"Intermediate")</f>
        <v>Intermediate</v>
      </c>
      <c r="P42" s="143">
        <f>IFERROR(__xludf.DUMMYFUNCTION("""COMPUTED_VALUE"""),0.06771990740740741)</f>
        <v>0.06771990741</v>
      </c>
      <c r="Q42" s="151"/>
      <c r="R42" s="140"/>
      <c r="S42" s="140"/>
    </row>
    <row r="43" ht="33.75" customHeight="1">
      <c r="A43" s="140"/>
      <c r="B43" s="140"/>
      <c r="C43" s="147">
        <f>IFERROR(__xludf.DUMMYFUNCTION("""COMPUTED_VALUE"""),5034173.0)</f>
        <v>5034173</v>
      </c>
      <c r="D43" s="148" t="str">
        <f>IFERROR(__xludf.DUMMYFUNCTION("""COMPUTED_VALUE"""),"Learning Public Data Sets")</f>
        <v>Learning Public Data Sets</v>
      </c>
      <c r="E43" s="147" t="str">
        <f>IFERROR(__xludf.DUMMYFUNCTION("""COMPUTED_VALUE"""),"General")</f>
        <v>General</v>
      </c>
      <c r="F43" s="141" t="str">
        <f>IFERROR(__xludf.DUMMYFUNCTION("""COMPUTED_VALUE"""),"Beginner + Intermediate")</f>
        <v>Beginner + Intermediate</v>
      </c>
      <c r="G43" s="143">
        <f>IFERROR(__xludf.DUMMYFUNCTION("""COMPUTED_VALUE"""),0.08423611111111111)</f>
        <v>0.08423611111</v>
      </c>
      <c r="H43" s="151"/>
      <c r="I43" s="140"/>
      <c r="J43" s="140"/>
      <c r="K43" s="140"/>
      <c r="L43" s="147">
        <f>IFERROR(__xludf.DUMMYFUNCTION("""COMPUTED_VALUE"""),2976142.0)</f>
        <v>2976142</v>
      </c>
      <c r="M43" s="148" t="str">
        <f>IFERROR(__xludf.DUMMYFUNCTION("""COMPUTED_VALUE"""),"Converting Face-to-Face Training into Digital Learning")</f>
        <v>Converting Face-to-Face Training into Digital Learning</v>
      </c>
      <c r="N43" s="147" t="str">
        <f>IFERROR(__xludf.DUMMYFUNCTION("""COMPUTED_VALUE"""),"General")</f>
        <v>General</v>
      </c>
      <c r="O43" s="141" t="str">
        <f>IFERROR(__xludf.DUMMYFUNCTION("""COMPUTED_VALUE"""),"Intermediate")</f>
        <v>Intermediate</v>
      </c>
      <c r="P43" s="143">
        <f>IFERROR(__xludf.DUMMYFUNCTION("""COMPUTED_VALUE"""),0.044409722222222225)</f>
        <v>0.04440972222</v>
      </c>
      <c r="Q43" s="151"/>
      <c r="R43" s="140"/>
      <c r="S43" s="140"/>
    </row>
    <row r="44" ht="33.75" customHeight="1">
      <c r="A44" s="140"/>
      <c r="B44" s="140"/>
      <c r="C44" s="147">
        <f>IFERROR(__xludf.DUMMYFUNCTION("""COMPUTED_VALUE"""),2822057.0)</f>
        <v>2822057</v>
      </c>
      <c r="D44" s="148" t="str">
        <f>IFERROR(__xludf.DUMMYFUNCTION("""COMPUTED_VALUE"""),"SPSS Statistics Essential Training")</f>
        <v>SPSS Statistics Essential Training</v>
      </c>
      <c r="E44" s="147" t="str">
        <f>IFERROR(__xludf.DUMMYFUNCTION("""COMPUTED_VALUE"""),"General")</f>
        <v>General</v>
      </c>
      <c r="F44" s="141" t="str">
        <f>IFERROR(__xludf.DUMMYFUNCTION("""COMPUTED_VALUE"""),"Beginner + Intermediate")</f>
        <v>Beginner + Intermediate</v>
      </c>
      <c r="G44" s="143">
        <f>IFERROR(__xludf.DUMMYFUNCTION("""COMPUTED_VALUE"""),0.2429398148148148)</f>
        <v>0.2429398148</v>
      </c>
      <c r="H44" s="151"/>
      <c r="I44" s="140"/>
      <c r="J44" s="140"/>
      <c r="K44" s="140"/>
      <c r="L44" s="147">
        <f>IFERROR(__xludf.DUMMYFUNCTION("""COMPUTED_VALUE"""),2825438.0)</f>
        <v>2825438</v>
      </c>
      <c r="M44" s="148" t="str">
        <f>IFERROR(__xludf.DUMMYFUNCTION("""COMPUTED_VALUE"""),"Articulate Storyline Quick Tips")</f>
        <v>Articulate Storyline Quick Tips</v>
      </c>
      <c r="N44" s="147" t="str">
        <f>IFERROR(__xludf.DUMMYFUNCTION("""COMPUTED_VALUE"""),"General")</f>
        <v>General</v>
      </c>
      <c r="O44" s="141" t="str">
        <f>IFERROR(__xludf.DUMMYFUNCTION("""COMPUTED_VALUE"""),"Intermediate")</f>
        <v>Intermediate</v>
      </c>
      <c r="P44" s="143">
        <f>IFERROR(__xludf.DUMMYFUNCTION("""COMPUTED_VALUE"""),0.029756944444444444)</f>
        <v>0.02975694444</v>
      </c>
      <c r="Q44" s="151"/>
      <c r="R44" s="140"/>
      <c r="S44" s="140"/>
    </row>
    <row r="45" ht="33.75" customHeight="1">
      <c r="A45" s="140"/>
      <c r="B45" s="140"/>
      <c r="C45" s="147">
        <f>IFERROR(__xludf.DUMMYFUNCTION("""COMPUTED_VALUE"""),2825498.0)</f>
        <v>2825498</v>
      </c>
      <c r="D45" s="148" t="str">
        <f>IFERROR(__xludf.DUMMYFUNCTION("""COMPUTED_VALUE"""),"R Essential Training: Wrangling and Visualizing Data")</f>
        <v>R Essential Training: Wrangling and Visualizing Data</v>
      </c>
      <c r="E45" s="147" t="str">
        <f>IFERROR(__xludf.DUMMYFUNCTION("""COMPUTED_VALUE"""),"General")</f>
        <v>General</v>
      </c>
      <c r="F45" s="141" t="str">
        <f>IFERROR(__xludf.DUMMYFUNCTION("""COMPUTED_VALUE"""),"Beginner + Intermediate")</f>
        <v>Beginner + Intermediate</v>
      </c>
      <c r="G45" s="143">
        <f>IFERROR(__xludf.DUMMYFUNCTION("""COMPUTED_VALUE"""),0.17958333333333334)</f>
        <v>0.1795833333</v>
      </c>
      <c r="H45" s="151"/>
      <c r="I45" s="140"/>
      <c r="J45" s="140"/>
      <c r="K45" s="140"/>
      <c r="L45" s="147">
        <f>IFERROR(__xludf.DUMMYFUNCTION("""COMPUTED_VALUE"""),2975172.0)</f>
        <v>2975172</v>
      </c>
      <c r="M45" s="148" t="str">
        <f>IFERROR(__xludf.DUMMYFUNCTION("""COMPUTED_VALUE"""),"20 Questions to Improve Learning at Your Organization")</f>
        <v>20 Questions to Improve Learning at Your Organization</v>
      </c>
      <c r="N45" s="147" t="str">
        <f>IFERROR(__xludf.DUMMYFUNCTION("""COMPUTED_VALUE"""),"General")</f>
        <v>General</v>
      </c>
      <c r="O45" s="141" t="str">
        <f>IFERROR(__xludf.DUMMYFUNCTION("""COMPUTED_VALUE"""),"Intermediate")</f>
        <v>Intermediate</v>
      </c>
      <c r="P45" s="143">
        <f>IFERROR(__xludf.DUMMYFUNCTION("""COMPUTED_VALUE"""),0.012708333333333334)</f>
        <v>0.01270833333</v>
      </c>
      <c r="Q45" s="151"/>
      <c r="R45" s="140"/>
      <c r="S45" s="140"/>
    </row>
    <row r="46" ht="33.75" customHeight="1">
      <c r="A46" s="140"/>
      <c r="B46" s="140"/>
      <c r="C46" s="147">
        <f>IFERROR(__xludf.DUMMYFUNCTION("""COMPUTED_VALUE"""),2817066.0)</f>
        <v>2817066</v>
      </c>
      <c r="D46" s="148" t="str">
        <f>IFERROR(__xludf.DUMMYFUNCTION("""COMPUTED_VALUE"""),"Cloud Hadoop: Scaling Apache Spark")</f>
        <v>Cloud Hadoop: Scaling Apache Spark</v>
      </c>
      <c r="E46" s="147" t="str">
        <f>IFERROR(__xludf.DUMMYFUNCTION("""COMPUTED_VALUE"""),"General")</f>
        <v>General</v>
      </c>
      <c r="F46" s="141" t="str">
        <f>IFERROR(__xludf.DUMMYFUNCTION("""COMPUTED_VALUE"""),"Beginner + Intermediate")</f>
        <v>Beginner + Intermediate</v>
      </c>
      <c r="G46" s="143">
        <f>IFERROR(__xludf.DUMMYFUNCTION("""COMPUTED_VALUE"""),0.1343287037037037)</f>
        <v>0.1343287037</v>
      </c>
      <c r="H46" s="151"/>
      <c r="I46" s="140"/>
      <c r="J46" s="140"/>
      <c r="K46" s="140"/>
      <c r="L46" s="147">
        <f>IFERROR(__xludf.DUMMYFUNCTION("""COMPUTED_VALUE"""),772321.0)</f>
        <v>772321</v>
      </c>
      <c r="M46" s="148" t="str">
        <f>IFERROR(__xludf.DUMMYFUNCTION("""COMPUTED_VALUE"""),"Applying Analytics to Your Learning Program")</f>
        <v>Applying Analytics to Your Learning Program</v>
      </c>
      <c r="N46" s="147" t="str">
        <f>IFERROR(__xludf.DUMMYFUNCTION("""COMPUTED_VALUE"""),"General")</f>
        <v>General</v>
      </c>
      <c r="O46" s="141" t="str">
        <f>IFERROR(__xludf.DUMMYFUNCTION("""COMPUTED_VALUE"""),"Advanced")</f>
        <v>Advanced</v>
      </c>
      <c r="P46" s="143">
        <f>IFERROR(__xludf.DUMMYFUNCTION("""COMPUTED_VALUE"""),0.03019675925925926)</f>
        <v>0.03019675926</v>
      </c>
      <c r="Q46" s="151"/>
      <c r="R46" s="140"/>
      <c r="S46" s="140"/>
    </row>
    <row r="47" ht="33.75" customHeight="1">
      <c r="A47" s="140"/>
      <c r="B47" s="140"/>
      <c r="C47" s="147">
        <f>IFERROR(__xludf.DUMMYFUNCTION("""COMPUTED_VALUE"""),2822406.0)</f>
        <v>2822406</v>
      </c>
      <c r="D47" s="148" t="str">
        <f>IFERROR(__xludf.DUMMYFUNCTION("""COMPUTED_VALUE"""),"The Non-Technical Skills of Effective Data Scientists")</f>
        <v>The Non-Technical Skills of Effective Data Scientists</v>
      </c>
      <c r="E47" s="147" t="str">
        <f>IFERROR(__xludf.DUMMYFUNCTION("""COMPUTED_VALUE"""),"General")</f>
        <v>General</v>
      </c>
      <c r="F47" s="141" t="str">
        <f>IFERROR(__xludf.DUMMYFUNCTION("""COMPUTED_VALUE"""),"Beginner + Intermediate")</f>
        <v>Beginner + Intermediate</v>
      </c>
      <c r="G47" s="143">
        <f>IFERROR(__xludf.DUMMYFUNCTION("""COMPUTED_VALUE"""),0.030729166666666665)</f>
        <v>0.03072916667</v>
      </c>
      <c r="H47" s="151"/>
      <c r="I47" s="140"/>
      <c r="J47" s="140"/>
      <c r="K47" s="140"/>
      <c r="L47" s="147">
        <f>IFERROR(__xludf.DUMMYFUNCTION("""COMPUTED_VALUE"""),5022325.0)</f>
        <v>5022325</v>
      </c>
      <c r="M47" s="148" t="str">
        <f>IFERROR(__xludf.DUMMYFUNCTION("""COMPUTED_VALUE"""),"Leveraging Neuroscience in the Workplace")</f>
        <v>Leveraging Neuroscience in the Workplace</v>
      </c>
      <c r="N47" s="147" t="str">
        <f>IFERROR(__xludf.DUMMYFUNCTION("""COMPUTED_VALUE"""),"General")</f>
        <v>General</v>
      </c>
      <c r="O47" s="141" t="str">
        <f>IFERROR(__xludf.DUMMYFUNCTION("""COMPUTED_VALUE"""),"Advanced")</f>
        <v>Advanced</v>
      </c>
      <c r="P47" s="143">
        <f>IFERROR(__xludf.DUMMYFUNCTION("""COMPUTED_VALUE"""),0.044537037037037035)</f>
        <v>0.04453703704</v>
      </c>
      <c r="Q47" s="151"/>
      <c r="R47" s="140"/>
      <c r="S47" s="140"/>
    </row>
    <row r="48" ht="33.75" customHeight="1">
      <c r="A48" s="140"/>
      <c r="B48" s="140"/>
      <c r="C48" s="147">
        <f>IFERROR(__xludf.DUMMYFUNCTION("""COMPUTED_VALUE"""),2824299.0)</f>
        <v>2824299</v>
      </c>
      <c r="D48" s="148" t="str">
        <f>IFERROR(__xludf.DUMMYFUNCTION("""COMPUTED_VALUE"""),"R Essential Training Part 2: Modeling Data")</f>
        <v>R Essential Training Part 2: Modeling Data</v>
      </c>
      <c r="E48" s="147" t="str">
        <f>IFERROR(__xludf.DUMMYFUNCTION("""COMPUTED_VALUE"""),"General")</f>
        <v>General</v>
      </c>
      <c r="F48" s="141" t="str">
        <f>IFERROR(__xludf.DUMMYFUNCTION("""COMPUTED_VALUE"""),"Beginner + Intermediate")</f>
        <v>Beginner + Intermediate</v>
      </c>
      <c r="G48" s="143">
        <f>IFERROR(__xludf.DUMMYFUNCTION("""COMPUTED_VALUE"""),0.16636574074074073)</f>
        <v>0.1663657407</v>
      </c>
      <c r="H48" s="151"/>
      <c r="I48" s="140"/>
      <c r="J48" s="140"/>
      <c r="K48" s="140"/>
      <c r="L48" s="147">
        <f>IFERROR(__xludf.DUMMYFUNCTION("""COMPUTED_VALUE"""),2812133.0)</f>
        <v>2812133</v>
      </c>
      <c r="M48" s="148" t="str">
        <f>IFERROR(__xludf.DUMMYFUNCTION("""COMPUTED_VALUE"""),"Using Neuroscience for More Effective L&amp;D")</f>
        <v>Using Neuroscience for More Effective L&amp;D</v>
      </c>
      <c r="N48" s="147" t="str">
        <f>IFERROR(__xludf.DUMMYFUNCTION("""COMPUTED_VALUE"""),"General")</f>
        <v>General</v>
      </c>
      <c r="O48" s="141" t="str">
        <f>IFERROR(__xludf.DUMMYFUNCTION("""COMPUTED_VALUE"""),"Advanced")</f>
        <v>Advanced</v>
      </c>
      <c r="P48" s="143">
        <f>IFERROR(__xludf.DUMMYFUNCTION("""COMPUTED_VALUE"""),0.047546296296296295)</f>
        <v>0.0475462963</v>
      </c>
      <c r="Q48" s="151"/>
      <c r="R48" s="140"/>
      <c r="S48" s="140"/>
    </row>
    <row r="49" ht="33.75" customHeight="1">
      <c r="A49" s="140"/>
      <c r="B49" s="140"/>
      <c r="C49" s="147">
        <f>IFERROR(__xludf.DUMMYFUNCTION("""COMPUTED_VALUE"""),2822641.0)</f>
        <v>2822641</v>
      </c>
      <c r="D49" s="148" t="str">
        <f>IFERROR(__xludf.DUMMYFUNCTION("""COMPUTED_VALUE"""),"How to Perform Business Analysis in a Virtual Environment")</f>
        <v>How to Perform Business Analysis in a Virtual Environment</v>
      </c>
      <c r="E49" s="147" t="str">
        <f>IFERROR(__xludf.DUMMYFUNCTION("""COMPUTED_VALUE"""),"General")</f>
        <v>General</v>
      </c>
      <c r="F49" s="141" t="str">
        <f>IFERROR(__xludf.DUMMYFUNCTION("""COMPUTED_VALUE"""),"Beginner + Intermediate")</f>
        <v>Beginner + Intermediate</v>
      </c>
      <c r="G49" s="143">
        <f>IFERROR(__xludf.DUMMYFUNCTION("""COMPUTED_VALUE"""),0.0627199074074074)</f>
        <v>0.06271990741</v>
      </c>
      <c r="H49" s="151"/>
      <c r="I49" s="140"/>
      <c r="J49" s="140"/>
      <c r="K49" s="140"/>
      <c r="L49" s="147">
        <f>IFERROR(__xludf.DUMMYFUNCTION("""COMPUTED_VALUE"""),2825682.0)</f>
        <v>2825682</v>
      </c>
      <c r="M49" s="148" t="str">
        <f>IFERROR(__xludf.DUMMYFUNCTION("""COMPUTED_VALUE"""),"Data-Driven Learning Design")</f>
        <v>Data-Driven Learning Design</v>
      </c>
      <c r="N49" s="147" t="str">
        <f>IFERROR(__xludf.DUMMYFUNCTION("""COMPUTED_VALUE"""),"General")</f>
        <v>General</v>
      </c>
      <c r="O49" s="141" t="str">
        <f>IFERROR(__xludf.DUMMYFUNCTION("""COMPUTED_VALUE"""),"Advanced")</f>
        <v>Advanced</v>
      </c>
      <c r="P49" s="143">
        <f>IFERROR(__xludf.DUMMYFUNCTION("""COMPUTED_VALUE"""),0.018252314814814815)</f>
        <v>0.01825231481</v>
      </c>
      <c r="Q49" s="151"/>
      <c r="R49" s="140"/>
      <c r="S49" s="140"/>
    </row>
    <row r="50" ht="33.75" customHeight="1">
      <c r="A50" s="140"/>
      <c r="B50" s="140"/>
      <c r="C50" s="147">
        <f>IFERROR(__xludf.DUMMYFUNCTION("""COMPUTED_VALUE"""),2938118.0)</f>
        <v>2938118</v>
      </c>
      <c r="D50" s="148" t="str">
        <f>IFERROR(__xludf.DUMMYFUNCTION("""COMPUTED_VALUE"""),"LinkedIn Learning Highlights: Data Science and Analytics")</f>
        <v>LinkedIn Learning Highlights: Data Science and Analytics</v>
      </c>
      <c r="E50" s="147" t="str">
        <f>IFERROR(__xludf.DUMMYFUNCTION("""COMPUTED_VALUE"""),"General")</f>
        <v>General</v>
      </c>
      <c r="F50" s="141" t="str">
        <f>IFERROR(__xludf.DUMMYFUNCTION("""COMPUTED_VALUE"""),"General")</f>
        <v>General</v>
      </c>
      <c r="G50" s="143">
        <f>IFERROR(__xludf.DUMMYFUNCTION("""COMPUTED_VALUE"""),0.029409722222222223)</f>
        <v>0.02940972222</v>
      </c>
      <c r="H50" s="151"/>
      <c r="I50" s="140"/>
      <c r="J50" s="140"/>
      <c r="K50" s="140"/>
      <c r="L50" s="147">
        <f>IFERROR(__xludf.DUMMYFUNCTION("""COMPUTED_VALUE"""),2242040.0)</f>
        <v>2242040</v>
      </c>
      <c r="M50" s="148" t="str">
        <f>IFERROR(__xludf.DUMMYFUNCTION("""COMPUTED_VALUE"""),"Design Thinking at Work (getAbstract Summary)")</f>
        <v>Design Thinking at Work (getAbstract Summary)</v>
      </c>
      <c r="N50" s="147" t="str">
        <f>IFERROR(__xludf.DUMMYFUNCTION("""COMPUTED_VALUE"""),"General")</f>
        <v>General</v>
      </c>
      <c r="O50" s="141" t="str">
        <f>IFERROR(__xludf.DUMMYFUNCTION("""COMPUTED_VALUE"""),"General")</f>
        <v>General</v>
      </c>
      <c r="P50" s="143">
        <f>IFERROR(__xludf.DUMMYFUNCTION("""COMPUTED_VALUE"""),0.009548611111111112)</f>
        <v>0.009548611111</v>
      </c>
      <c r="Q50" s="151"/>
      <c r="R50" s="140"/>
      <c r="S50" s="140"/>
    </row>
    <row r="51" ht="33.75" customHeight="1">
      <c r="A51" s="140"/>
      <c r="B51" s="140"/>
      <c r="C51" s="147">
        <f>IFERROR(__xludf.DUMMYFUNCTION("""COMPUTED_VALUE"""),2823140.0)</f>
        <v>2823140</v>
      </c>
      <c r="D51" s="148" t="str">
        <f>IFERROR(__xludf.DUMMYFUNCTION("""COMPUTED_VALUE"""),"Tech Ethics: Avoiding Unintended Consequences")</f>
        <v>Tech Ethics: Avoiding Unintended Consequences</v>
      </c>
      <c r="E51" s="147" t="str">
        <f>IFERROR(__xludf.DUMMYFUNCTION("""COMPUTED_VALUE"""),"General")</f>
        <v>General</v>
      </c>
      <c r="F51" s="141" t="str">
        <f>IFERROR(__xludf.DUMMYFUNCTION("""COMPUTED_VALUE"""),"General")</f>
        <v>General</v>
      </c>
      <c r="G51" s="143">
        <f>IFERROR(__xludf.DUMMYFUNCTION("""COMPUTED_VALUE"""),0.032060185185185185)</f>
        <v>0.03206018519</v>
      </c>
      <c r="H51" s="151"/>
      <c r="I51" s="140"/>
      <c r="J51" s="140"/>
      <c r="K51" s="140"/>
      <c r="L51" s="147">
        <f>IFERROR(__xludf.DUMMYFUNCTION("""COMPUTED_VALUE"""),2825437.0)</f>
        <v>2825437</v>
      </c>
      <c r="M51" s="148" t="str">
        <f>IFERROR(__xludf.DUMMYFUNCTION("""COMPUTED_VALUE"""),"Color Trends")</f>
        <v>Color Trends</v>
      </c>
      <c r="N51" s="147" t="str">
        <f>IFERROR(__xludf.DUMMYFUNCTION("""COMPUTED_VALUE"""),"General")</f>
        <v>General</v>
      </c>
      <c r="O51" s="141" t="str">
        <f>IFERROR(__xludf.DUMMYFUNCTION("""COMPUTED_VALUE"""),"General")</f>
        <v>General</v>
      </c>
      <c r="P51" s="143">
        <f>IFERROR(__xludf.DUMMYFUNCTION("""COMPUTED_VALUE"""),0.02457175925925926)</f>
        <v>0.02457175926</v>
      </c>
      <c r="Q51" s="151"/>
      <c r="R51" s="140"/>
      <c r="S51" s="140"/>
    </row>
    <row r="52" ht="33.75" customHeight="1">
      <c r="A52" s="140"/>
      <c r="B52" s="140"/>
      <c r="C52" s="147">
        <f>IFERROR(__xludf.DUMMYFUNCTION("""COMPUTED_VALUE"""),630612.0)</f>
        <v>630612</v>
      </c>
      <c r="D52" s="148" t="str">
        <f>IFERROR(__xludf.DUMMYFUNCTION("""COMPUTED_VALUE"""),"The Data Science of Government and Political Science, with Barton Poulson")</f>
        <v>The Data Science of Government and Political Science, with Barton Poulson</v>
      </c>
      <c r="E52" s="147" t="str">
        <f>IFERROR(__xludf.DUMMYFUNCTION("""COMPUTED_VALUE"""),"General")</f>
        <v>General</v>
      </c>
      <c r="F52" s="141" t="str">
        <f>IFERROR(__xludf.DUMMYFUNCTION("""COMPUTED_VALUE"""),"General")</f>
        <v>General</v>
      </c>
      <c r="G52" s="143">
        <f>IFERROR(__xludf.DUMMYFUNCTION("""COMPUTED_VALUE"""),0.043229166666666666)</f>
        <v>0.04322916667</v>
      </c>
      <c r="H52" s="151"/>
      <c r="I52" s="140"/>
      <c r="J52" s="140"/>
      <c r="K52" s="140"/>
      <c r="L52" s="147">
        <f>IFERROR(__xludf.DUMMYFUNCTION("""COMPUTED_VALUE"""),2818050.0)</f>
        <v>2818050</v>
      </c>
      <c r="M52" s="148" t="str">
        <f>IFERROR(__xludf.DUMMYFUNCTION("""COMPUTED_VALUE"""),"Technology and Design Ethics")</f>
        <v>Technology and Design Ethics</v>
      </c>
      <c r="N52" s="147" t="str">
        <f>IFERROR(__xludf.DUMMYFUNCTION("""COMPUTED_VALUE"""),"General")</f>
        <v>General</v>
      </c>
      <c r="O52" s="141" t="str">
        <f>IFERROR(__xludf.DUMMYFUNCTION("""COMPUTED_VALUE"""),"General")</f>
        <v>General</v>
      </c>
      <c r="P52" s="143">
        <f>IFERROR(__xludf.DUMMYFUNCTION("""COMPUTED_VALUE"""),0.0647337962962963)</f>
        <v>0.0647337963</v>
      </c>
      <c r="Q52" s="151"/>
      <c r="R52" s="140"/>
      <c r="S52" s="140"/>
    </row>
    <row r="53" ht="33.75" customHeight="1">
      <c r="A53" s="140"/>
      <c r="B53" s="140"/>
      <c r="C53" s="147">
        <f>IFERROR(__xludf.DUMMYFUNCTION("""COMPUTED_VALUE"""),3009707.0)</f>
        <v>3009707</v>
      </c>
      <c r="D53" s="148" t="str">
        <f>IFERROR(__xludf.DUMMYFUNCTION("""COMPUTED_VALUE"""),"Skills That Set Data Scientists Apart")</f>
        <v>Skills That Set Data Scientists Apart</v>
      </c>
      <c r="E53" s="147" t="str">
        <f>IFERROR(__xludf.DUMMYFUNCTION("""COMPUTED_VALUE"""),"General")</f>
        <v>General</v>
      </c>
      <c r="F53" s="141" t="str">
        <f>IFERROR(__xludf.DUMMYFUNCTION("""COMPUTED_VALUE"""),"General")</f>
        <v>General</v>
      </c>
      <c r="G53" s="143">
        <f>IFERROR(__xludf.DUMMYFUNCTION("""COMPUTED_VALUE"""),0.03644675925925926)</f>
        <v>0.03644675926</v>
      </c>
      <c r="H53" s="151"/>
      <c r="I53" s="140"/>
      <c r="J53" s="140"/>
      <c r="K53" s="140"/>
      <c r="L53" s="147">
        <f>IFERROR(__xludf.DUMMYFUNCTION("""COMPUTED_VALUE"""),2800332.0)</f>
        <v>2800332</v>
      </c>
      <c r="M53" s="148" t="str">
        <f>IFERROR(__xludf.DUMMYFUNCTION("""COMPUTED_VALUE"""),"Running a Design Business: Writing and Pricing Winning Proposals")</f>
        <v>Running a Design Business: Writing and Pricing Winning Proposals</v>
      </c>
      <c r="N53" s="147" t="str">
        <f>IFERROR(__xludf.DUMMYFUNCTION("""COMPUTED_VALUE"""),"General")</f>
        <v>General</v>
      </c>
      <c r="O53" s="141" t="str">
        <f>IFERROR(__xludf.DUMMYFUNCTION("""COMPUTED_VALUE"""),"General")</f>
        <v>General</v>
      </c>
      <c r="P53" s="143">
        <f>IFERROR(__xludf.DUMMYFUNCTION("""COMPUTED_VALUE"""),0.03540509259259259)</f>
        <v>0.03540509259</v>
      </c>
      <c r="Q53" s="151"/>
      <c r="R53" s="140"/>
      <c r="S53" s="140"/>
    </row>
    <row r="54" ht="33.75" customHeight="1">
      <c r="A54" s="140"/>
      <c r="B54" s="140"/>
      <c r="C54" s="147">
        <f>IFERROR(__xludf.DUMMYFUNCTION("""COMPUTED_VALUE"""),3010693.0)</f>
        <v>3010693</v>
      </c>
      <c r="D54" s="148" t="str">
        <f>IFERROR(__xludf.DUMMYFUNCTION("""COMPUTED_VALUE"""),"Hiring a Chief Data Officer")</f>
        <v>Hiring a Chief Data Officer</v>
      </c>
      <c r="E54" s="147" t="str">
        <f>IFERROR(__xludf.DUMMYFUNCTION("""COMPUTED_VALUE"""),"General")</f>
        <v>General</v>
      </c>
      <c r="F54" s="141" t="str">
        <f>IFERROR(__xludf.DUMMYFUNCTION("""COMPUTED_VALUE"""),"General")</f>
        <v>General</v>
      </c>
      <c r="G54" s="143">
        <f>IFERROR(__xludf.DUMMYFUNCTION("""COMPUTED_VALUE"""),0.048553240740740744)</f>
        <v>0.04855324074</v>
      </c>
      <c r="H54" s="151"/>
      <c r="I54" s="140"/>
      <c r="J54" s="140"/>
      <c r="K54" s="140"/>
      <c r="L54" s="147">
        <f>IFERROR(__xludf.DUMMYFUNCTION("""COMPUTED_VALUE"""),2841399.0)</f>
        <v>2841399</v>
      </c>
      <c r="M54" s="148" t="str">
        <f>IFERROR(__xludf.DUMMYFUNCTION("""COMPUTED_VALUE"""),"Design Thinking: Understanding the Process")</f>
        <v>Design Thinking: Understanding the Process</v>
      </c>
      <c r="N54" s="147" t="str">
        <f>IFERROR(__xludf.DUMMYFUNCTION("""COMPUTED_VALUE"""),"General")</f>
        <v>General</v>
      </c>
      <c r="O54" s="141" t="str">
        <f>IFERROR(__xludf.DUMMYFUNCTION("""COMPUTED_VALUE"""),"General")</f>
        <v>General</v>
      </c>
      <c r="P54" s="143">
        <f>IFERROR(__xludf.DUMMYFUNCTION("""COMPUTED_VALUE"""),0.02912037037037037)</f>
        <v>0.02912037037</v>
      </c>
      <c r="Q54" s="151"/>
      <c r="R54" s="140"/>
      <c r="S54" s="140"/>
    </row>
    <row r="55" ht="33.75" customHeight="1">
      <c r="A55" s="140"/>
      <c r="B55" s="140"/>
      <c r="C55" s="147">
        <f>IFERROR(__xludf.DUMMYFUNCTION("""COMPUTED_VALUE"""),3013245.0)</f>
        <v>3013245</v>
      </c>
      <c r="D55" s="148" t="str">
        <f>IFERROR(__xludf.DUMMYFUNCTION("""COMPUTED_VALUE"""),"Best Languages for Data Science")</f>
        <v>Best Languages for Data Science</v>
      </c>
      <c r="E55" s="147" t="str">
        <f>IFERROR(__xludf.DUMMYFUNCTION("""COMPUTED_VALUE"""),"General")</f>
        <v>General</v>
      </c>
      <c r="F55" s="141" t="str">
        <f>IFERROR(__xludf.DUMMYFUNCTION("""COMPUTED_VALUE"""),"General")</f>
        <v>General</v>
      </c>
      <c r="G55" s="143">
        <f>IFERROR(__xludf.DUMMYFUNCTION("""COMPUTED_VALUE"""),0.03556712962962963)</f>
        <v>0.03556712963</v>
      </c>
      <c r="H55" s="151"/>
      <c r="I55" s="140"/>
      <c r="J55" s="140"/>
      <c r="K55" s="140"/>
      <c r="L55" s="147"/>
      <c r="M55" s="153"/>
      <c r="N55" s="147"/>
      <c r="O55" s="141"/>
      <c r="P55" s="141"/>
      <c r="Q55" s="151"/>
      <c r="R55" s="140"/>
      <c r="S55" s="140"/>
    </row>
    <row r="56" ht="33.75" customHeight="1">
      <c r="A56" s="140"/>
      <c r="B56" s="140"/>
      <c r="C56" s="147">
        <f>IFERROR(__xludf.DUMMYFUNCTION("""COMPUTED_VALUE"""),3008694.0)</f>
        <v>3008694</v>
      </c>
      <c r="D56" s="148" t="str">
        <f>IFERROR(__xludf.DUMMYFUNCTION("""COMPUTED_VALUE"""),"Giving Computers Vision")</f>
        <v>Giving Computers Vision</v>
      </c>
      <c r="E56" s="147" t="str">
        <f>IFERROR(__xludf.DUMMYFUNCTION("""COMPUTED_VALUE"""),"General")</f>
        <v>General</v>
      </c>
      <c r="F56" s="141" t="str">
        <f>IFERROR(__xludf.DUMMYFUNCTION("""COMPUTED_VALUE"""),"General")</f>
        <v>General</v>
      </c>
      <c r="G56" s="143">
        <f>IFERROR(__xludf.DUMMYFUNCTION("""COMPUTED_VALUE"""),0.06495370370370371)</f>
        <v>0.0649537037</v>
      </c>
      <c r="H56" s="151"/>
      <c r="I56" s="140"/>
      <c r="J56" s="140"/>
      <c r="K56" s="140"/>
      <c r="L56" s="147"/>
      <c r="M56" s="153"/>
      <c r="N56" s="147"/>
      <c r="O56" s="141"/>
      <c r="P56" s="141"/>
      <c r="Q56" s="151"/>
      <c r="R56" s="140"/>
      <c r="S56" s="140"/>
    </row>
    <row r="57" ht="33.75" customHeight="1">
      <c r="A57" s="140"/>
      <c r="B57" s="140"/>
      <c r="C57" s="147">
        <f>IFERROR(__xludf.DUMMYFUNCTION("""COMPUTED_VALUE"""),5028661.0)</f>
        <v>5028661</v>
      </c>
      <c r="D57" s="148" t="str">
        <f>IFERROR(__xludf.DUMMYFUNCTION("""COMPUTED_VALUE"""),"Excel Statistics Essential Training: 2")</f>
        <v>Excel Statistics Essential Training: 2</v>
      </c>
      <c r="E57" s="147" t="str">
        <f>IFERROR(__xludf.DUMMYFUNCTION("""COMPUTED_VALUE"""),"General")</f>
        <v>General</v>
      </c>
      <c r="F57" s="141" t="str">
        <f>IFERROR(__xludf.DUMMYFUNCTION("""COMPUTED_VALUE"""),"Intermediate")</f>
        <v>Intermediate</v>
      </c>
      <c r="G57" s="143">
        <f>IFERROR(__xludf.DUMMYFUNCTION("""COMPUTED_VALUE"""),0.09054398148148148)</f>
        <v>0.09054398148</v>
      </c>
      <c r="H57" s="151"/>
      <c r="I57" s="140"/>
      <c r="J57" s="140"/>
      <c r="K57" s="140"/>
      <c r="L57" s="147"/>
      <c r="M57" s="153"/>
      <c r="N57" s="147"/>
      <c r="O57" s="141"/>
      <c r="P57" s="141"/>
      <c r="Q57" s="151"/>
      <c r="R57" s="140"/>
      <c r="S57" s="140"/>
    </row>
    <row r="58" ht="33.75" customHeight="1">
      <c r="A58" s="140"/>
      <c r="B58" s="140"/>
      <c r="C58" s="147">
        <f>IFERROR(__xludf.DUMMYFUNCTION("""COMPUTED_VALUE"""),647676.0)</f>
        <v>647676</v>
      </c>
      <c r="D58" s="148" t="str">
        <f>IFERROR(__xludf.DUMMYFUNCTION("""COMPUTED_VALUE"""),"Business Analytics Foundations: Descriptive, Exploratory, and Explanatory Analytics")</f>
        <v>Business Analytics Foundations: Descriptive, Exploratory, and Explanatory Analytics</v>
      </c>
      <c r="E58" s="147" t="str">
        <f>IFERROR(__xludf.DUMMYFUNCTION("""COMPUTED_VALUE"""),"General")</f>
        <v>General</v>
      </c>
      <c r="F58" s="141" t="str">
        <f>IFERROR(__xludf.DUMMYFUNCTION("""COMPUTED_VALUE"""),"Intermediate")</f>
        <v>Intermediate</v>
      </c>
      <c r="G58" s="143">
        <f>IFERROR(__xludf.DUMMYFUNCTION("""COMPUTED_VALUE"""),0.028796296296296296)</f>
        <v>0.0287962963</v>
      </c>
      <c r="H58" s="151"/>
      <c r="I58" s="140"/>
      <c r="J58" s="140"/>
      <c r="K58" s="140"/>
      <c r="L58" s="147"/>
      <c r="M58" s="153"/>
      <c r="N58" s="147"/>
      <c r="O58" s="141"/>
      <c r="P58" s="141"/>
      <c r="Q58" s="151"/>
      <c r="R58" s="140"/>
      <c r="S58" s="140"/>
    </row>
    <row r="59" ht="33.75" customHeight="1">
      <c r="A59" s="140"/>
      <c r="B59" s="140"/>
      <c r="C59" s="147">
        <f>IFERROR(__xludf.DUMMYFUNCTION("""COMPUTED_VALUE"""),647677.0)</f>
        <v>647677</v>
      </c>
      <c r="D59" s="148" t="str">
        <f>IFERROR(__xludf.DUMMYFUNCTION("""COMPUTED_VALUE"""),"Business Analytics Foundations: Predictive, Prescriptive, and Experimental Analytics")</f>
        <v>Business Analytics Foundations: Predictive, Prescriptive, and Experimental Analytics</v>
      </c>
      <c r="E59" s="147" t="str">
        <f>IFERROR(__xludf.DUMMYFUNCTION("""COMPUTED_VALUE"""),"General")</f>
        <v>General</v>
      </c>
      <c r="F59" s="141" t="str">
        <f>IFERROR(__xludf.DUMMYFUNCTION("""COMPUTED_VALUE"""),"Intermediate")</f>
        <v>Intermediate</v>
      </c>
      <c r="G59" s="143">
        <f>IFERROR(__xludf.DUMMYFUNCTION("""COMPUTED_VALUE"""),0.029282407407407406)</f>
        <v>0.02928240741</v>
      </c>
      <c r="H59" s="151"/>
      <c r="I59" s="140"/>
      <c r="J59" s="140"/>
      <c r="K59" s="140"/>
      <c r="L59" s="147"/>
      <c r="M59" s="153"/>
      <c r="N59" s="147"/>
      <c r="O59" s="141"/>
      <c r="P59" s="141"/>
      <c r="Q59" s="151"/>
      <c r="R59" s="140"/>
      <c r="S59" s="140"/>
    </row>
    <row r="60" ht="33.75" customHeight="1">
      <c r="A60" s="140"/>
      <c r="B60" s="140"/>
      <c r="C60" s="147">
        <f>IFERROR(__xludf.DUMMYFUNCTION("""COMPUTED_VALUE"""),618718.0)</f>
        <v>618718</v>
      </c>
      <c r="D60" s="148" t="str">
        <f>IFERROR(__xludf.DUMMYFUNCTION("""COMPUTED_VALUE"""),"Design Thinking: Data Intelligence")</f>
        <v>Design Thinking: Data Intelligence</v>
      </c>
      <c r="E60" s="147" t="str">
        <f>IFERROR(__xludf.DUMMYFUNCTION("""COMPUTED_VALUE"""),"General")</f>
        <v>General</v>
      </c>
      <c r="F60" s="141" t="str">
        <f>IFERROR(__xludf.DUMMYFUNCTION("""COMPUTED_VALUE"""),"Intermediate")</f>
        <v>Intermediate</v>
      </c>
      <c r="G60" s="143">
        <f>IFERROR(__xludf.DUMMYFUNCTION("""COMPUTED_VALUE"""),0.031053240740740742)</f>
        <v>0.03105324074</v>
      </c>
      <c r="H60" s="151"/>
      <c r="I60" s="140"/>
      <c r="J60" s="140"/>
      <c r="K60" s="140"/>
      <c r="L60" s="147"/>
      <c r="M60" s="153"/>
      <c r="N60" s="147"/>
      <c r="O60" s="141"/>
      <c r="P60" s="141"/>
      <c r="Q60" s="151"/>
      <c r="R60" s="140"/>
      <c r="S60" s="140"/>
    </row>
    <row r="61" ht="33.75" customHeight="1">
      <c r="A61" s="140"/>
      <c r="B61" s="140"/>
      <c r="C61" s="147">
        <f>IFERROR(__xludf.DUMMYFUNCTION("""COMPUTED_VALUE"""),2814138.0)</f>
        <v>2814138</v>
      </c>
      <c r="D61" s="148" t="str">
        <f>IFERROR(__xludf.DUMMYFUNCTION("""COMPUTED_VALUE"""),"Excel: Charts in Depth")</f>
        <v>Excel: Charts in Depth</v>
      </c>
      <c r="E61" s="147" t="str">
        <f>IFERROR(__xludf.DUMMYFUNCTION("""COMPUTED_VALUE"""),"General")</f>
        <v>General</v>
      </c>
      <c r="F61" s="141" t="str">
        <f>IFERROR(__xludf.DUMMYFUNCTION("""COMPUTED_VALUE"""),"Intermediate")</f>
        <v>Intermediate</v>
      </c>
      <c r="G61" s="143">
        <f>IFERROR(__xludf.DUMMYFUNCTION("""COMPUTED_VALUE"""),0.10895833333333334)</f>
        <v>0.1089583333</v>
      </c>
      <c r="H61" s="151"/>
      <c r="I61" s="140"/>
      <c r="J61" s="140"/>
      <c r="K61" s="140"/>
      <c r="L61" s="147"/>
      <c r="M61" s="153"/>
      <c r="N61" s="147"/>
      <c r="O61" s="141"/>
      <c r="P61" s="141"/>
      <c r="Q61" s="151"/>
      <c r="R61" s="140"/>
      <c r="S61" s="140"/>
    </row>
    <row r="62" ht="33.75" customHeight="1">
      <c r="A62" s="140"/>
      <c r="B62" s="140"/>
      <c r="C62" s="147">
        <f>IFERROR(__xludf.DUMMYFUNCTION("""COMPUTED_VALUE"""),2825411.0)</f>
        <v>2825411</v>
      </c>
      <c r="D62" s="148" t="str">
        <f>IFERROR(__xludf.DUMMYFUNCTION("""COMPUTED_VALUE"""),"UX Deep Dive: Analyzing Data")</f>
        <v>UX Deep Dive: Analyzing Data</v>
      </c>
      <c r="E62" s="147" t="str">
        <f>IFERROR(__xludf.DUMMYFUNCTION("""COMPUTED_VALUE"""),"General")</f>
        <v>General</v>
      </c>
      <c r="F62" s="141" t="str">
        <f>IFERROR(__xludf.DUMMYFUNCTION("""COMPUTED_VALUE"""),"Intermediate")</f>
        <v>Intermediate</v>
      </c>
      <c r="G62" s="143">
        <f>IFERROR(__xludf.DUMMYFUNCTION("""COMPUTED_VALUE"""),0.01744212962962963)</f>
        <v>0.01744212963</v>
      </c>
      <c r="H62" s="151"/>
      <c r="I62" s="140"/>
      <c r="J62" s="140"/>
      <c r="K62" s="140"/>
      <c r="L62" s="147"/>
      <c r="M62" s="153"/>
      <c r="N62" s="147"/>
      <c r="O62" s="141"/>
      <c r="P62" s="141"/>
      <c r="Q62" s="151"/>
      <c r="R62" s="140"/>
      <c r="S62" s="140"/>
    </row>
    <row r="63" ht="33.75" customHeight="1">
      <c r="A63" s="140"/>
      <c r="B63" s="140"/>
      <c r="C63" s="147">
        <f>IFERROR(__xludf.DUMMYFUNCTION("""COMPUTED_VALUE"""),2863046.0)</f>
        <v>2863046</v>
      </c>
      <c r="D63" s="148" t="str">
        <f>IFERROR(__xludf.DUMMYFUNCTION("""COMPUTED_VALUE"""),"Data Visualization: Storytelling")</f>
        <v>Data Visualization: Storytelling</v>
      </c>
      <c r="E63" s="147" t="str">
        <f>IFERROR(__xludf.DUMMYFUNCTION("""COMPUTED_VALUE"""),"General")</f>
        <v>General</v>
      </c>
      <c r="F63" s="141" t="str">
        <f>IFERROR(__xludf.DUMMYFUNCTION("""COMPUTED_VALUE"""),"Intermediate")</f>
        <v>Intermediate</v>
      </c>
      <c r="G63" s="143">
        <f>IFERROR(__xludf.DUMMYFUNCTION("""COMPUTED_VALUE"""),0.06585648148148149)</f>
        <v>0.06585648148</v>
      </c>
      <c r="H63" s="151"/>
      <c r="I63" s="140"/>
      <c r="J63" s="140"/>
      <c r="K63" s="140"/>
      <c r="L63" s="147"/>
      <c r="M63" s="153"/>
      <c r="N63" s="147"/>
      <c r="O63" s="141"/>
      <c r="P63" s="141"/>
      <c r="Q63" s="151"/>
      <c r="R63" s="140"/>
      <c r="S63" s="140"/>
    </row>
    <row r="64" ht="33.75" customHeight="1">
      <c r="A64" s="140"/>
      <c r="B64" s="140"/>
      <c r="C64" s="147">
        <f>IFERROR(__xludf.DUMMYFUNCTION("""COMPUTED_VALUE"""),2856077.0)</f>
        <v>2856077</v>
      </c>
      <c r="D64" s="148" t="str">
        <f>IFERROR(__xludf.DUMMYFUNCTION("""COMPUTED_VALUE"""),"Excel Supply Chain Analysis: Solving Transportation Problems")</f>
        <v>Excel Supply Chain Analysis: Solving Transportation Problems</v>
      </c>
      <c r="E64" s="147" t="str">
        <f>IFERROR(__xludf.DUMMYFUNCTION("""COMPUTED_VALUE"""),"General")</f>
        <v>General</v>
      </c>
      <c r="F64" s="141" t="str">
        <f>IFERROR(__xludf.DUMMYFUNCTION("""COMPUTED_VALUE"""),"Intermediate")</f>
        <v>Intermediate</v>
      </c>
      <c r="G64" s="143">
        <f>IFERROR(__xludf.DUMMYFUNCTION("""COMPUTED_VALUE"""),0.08042824074074074)</f>
        <v>0.08042824074</v>
      </c>
      <c r="H64" s="151"/>
      <c r="I64" s="140"/>
      <c r="J64" s="140"/>
      <c r="K64" s="140"/>
      <c r="L64" s="147"/>
      <c r="M64" s="153"/>
      <c r="N64" s="147"/>
      <c r="O64" s="141"/>
      <c r="P64" s="141"/>
      <c r="Q64" s="151"/>
      <c r="R64" s="140"/>
      <c r="S64" s="140"/>
    </row>
    <row r="65" ht="33.75" customHeight="1">
      <c r="A65" s="140"/>
      <c r="B65" s="140"/>
      <c r="C65" s="147">
        <f>IFERROR(__xludf.DUMMYFUNCTION("""COMPUTED_VALUE"""),667381.0)</f>
        <v>667381</v>
      </c>
      <c r="D65" s="148" t="str">
        <f>IFERROR(__xludf.DUMMYFUNCTION("""COMPUTED_VALUE"""),"NoSQL Data Modeling Essential Training")</f>
        <v>NoSQL Data Modeling Essential Training</v>
      </c>
      <c r="E65" s="147" t="str">
        <f>IFERROR(__xludf.DUMMYFUNCTION("""COMPUTED_VALUE"""),"General")</f>
        <v>General</v>
      </c>
      <c r="F65" s="141" t="str">
        <f>IFERROR(__xludf.DUMMYFUNCTION("""COMPUTED_VALUE"""),"Intermediate")</f>
        <v>Intermediate</v>
      </c>
      <c r="G65" s="143">
        <f>IFERROR(__xludf.DUMMYFUNCTION("""COMPUTED_VALUE"""),0.05613425925925926)</f>
        <v>0.05613425926</v>
      </c>
      <c r="H65" s="151"/>
      <c r="I65" s="140"/>
      <c r="J65" s="140"/>
      <c r="K65" s="140"/>
      <c r="L65" s="147"/>
      <c r="M65" s="153"/>
      <c r="N65" s="147"/>
      <c r="O65" s="141"/>
      <c r="P65" s="141"/>
      <c r="Q65" s="151"/>
      <c r="R65" s="140"/>
      <c r="S65" s="140"/>
    </row>
    <row r="66" ht="33.75" customHeight="1">
      <c r="A66" s="140"/>
      <c r="B66" s="140"/>
      <c r="C66" s="147">
        <f>IFERROR(__xludf.DUMMYFUNCTION("""COMPUTED_VALUE"""),777348.0)</f>
        <v>777348</v>
      </c>
      <c r="D66" s="148" t="str">
        <f>IFERROR(__xludf.DUMMYFUNCTION("""COMPUTED_VALUE"""),"Telling Stories with Data")</f>
        <v>Telling Stories with Data</v>
      </c>
      <c r="E66" s="147" t="str">
        <f>IFERROR(__xludf.DUMMYFUNCTION("""COMPUTED_VALUE"""),"General")</f>
        <v>General</v>
      </c>
      <c r="F66" s="141" t="str">
        <f>IFERROR(__xludf.DUMMYFUNCTION("""COMPUTED_VALUE"""),"Intermediate")</f>
        <v>Intermediate</v>
      </c>
      <c r="G66" s="143">
        <f>IFERROR(__xludf.DUMMYFUNCTION("""COMPUTED_VALUE"""),0.01099537037037037)</f>
        <v>0.01099537037</v>
      </c>
      <c r="H66" s="151"/>
      <c r="I66" s="140"/>
      <c r="J66" s="140"/>
      <c r="K66" s="140"/>
      <c r="L66" s="147"/>
      <c r="M66" s="153"/>
      <c r="N66" s="147"/>
      <c r="O66" s="141"/>
      <c r="P66" s="141"/>
      <c r="Q66" s="151"/>
      <c r="R66" s="140"/>
      <c r="S66" s="140"/>
    </row>
    <row r="67" ht="33.75" customHeight="1">
      <c r="A67" s="140"/>
      <c r="B67" s="140"/>
      <c r="C67" s="147">
        <f>IFERROR(__xludf.DUMMYFUNCTION("""COMPUTED_VALUE"""),5040395.0)</f>
        <v>5040395</v>
      </c>
      <c r="D67" s="148" t="str">
        <f>IFERROR(__xludf.DUMMYFUNCTION("""COMPUTED_VALUE"""),"Power BI Data Modeling with DAX")</f>
        <v>Power BI Data Modeling with DAX</v>
      </c>
      <c r="E67" s="147" t="str">
        <f>IFERROR(__xludf.DUMMYFUNCTION("""COMPUTED_VALUE"""),"General")</f>
        <v>General</v>
      </c>
      <c r="F67" s="141" t="str">
        <f>IFERROR(__xludf.DUMMYFUNCTION("""COMPUTED_VALUE"""),"Intermediate")</f>
        <v>Intermediate</v>
      </c>
      <c r="G67" s="143">
        <f>IFERROR(__xludf.DUMMYFUNCTION("""COMPUTED_VALUE"""),0.04645833333333333)</f>
        <v>0.04645833333</v>
      </c>
      <c r="H67" s="151"/>
      <c r="I67" s="140"/>
      <c r="J67" s="140"/>
      <c r="K67" s="140"/>
      <c r="L67" s="147"/>
      <c r="M67" s="153"/>
      <c r="N67" s="147"/>
      <c r="O67" s="141"/>
      <c r="P67" s="141"/>
      <c r="Q67" s="151"/>
      <c r="R67" s="140"/>
      <c r="S67" s="140"/>
    </row>
    <row r="68" ht="33.75" customHeight="1">
      <c r="A68" s="140"/>
      <c r="B68" s="140"/>
      <c r="C68" s="147">
        <f>IFERROR(__xludf.DUMMYFUNCTION("""COMPUTED_VALUE"""),2813260.0)</f>
        <v>2813260</v>
      </c>
      <c r="D68" s="148" t="str">
        <f>IFERROR(__xludf.DUMMYFUNCTION("""COMPUTED_VALUE"""),"Big Data Analytics with Hadoop and Apache Spark")</f>
        <v>Big Data Analytics with Hadoop and Apache Spark</v>
      </c>
      <c r="E68" s="147" t="str">
        <f>IFERROR(__xludf.DUMMYFUNCTION("""COMPUTED_VALUE"""),"General")</f>
        <v>General</v>
      </c>
      <c r="F68" s="141" t="str">
        <f>IFERROR(__xludf.DUMMYFUNCTION("""COMPUTED_VALUE"""),"Intermediate")</f>
        <v>Intermediate</v>
      </c>
      <c r="G68" s="143">
        <f>IFERROR(__xludf.DUMMYFUNCTION("""COMPUTED_VALUE"""),0.04299768518518519)</f>
        <v>0.04299768519</v>
      </c>
      <c r="H68" s="151"/>
      <c r="I68" s="140"/>
      <c r="J68" s="140"/>
      <c r="K68" s="140"/>
      <c r="L68" s="147"/>
      <c r="M68" s="153"/>
      <c r="N68" s="147"/>
      <c r="O68" s="141"/>
      <c r="P68" s="141"/>
      <c r="Q68" s="151"/>
      <c r="R68" s="140"/>
      <c r="S68" s="140"/>
    </row>
    <row r="69" ht="33.75" customHeight="1">
      <c r="A69" s="140"/>
      <c r="B69" s="140"/>
      <c r="C69" s="147">
        <f>IFERROR(__xludf.DUMMYFUNCTION("""COMPUTED_VALUE"""),786423.0)</f>
        <v>786423</v>
      </c>
      <c r="D69" s="148" t="str">
        <f>IFERROR(__xludf.DUMMYFUNCTION("""COMPUTED_VALUE"""),"Text Analytics and Predictions with R Essential Training")</f>
        <v>Text Analytics and Predictions with R Essential Training</v>
      </c>
      <c r="E69" s="147" t="str">
        <f>IFERROR(__xludf.DUMMYFUNCTION("""COMPUTED_VALUE"""),"General")</f>
        <v>General</v>
      </c>
      <c r="F69" s="141" t="str">
        <f>IFERROR(__xludf.DUMMYFUNCTION("""COMPUTED_VALUE"""),"Intermediate")</f>
        <v>Intermediate</v>
      </c>
      <c r="G69" s="143">
        <f>IFERROR(__xludf.DUMMYFUNCTION("""COMPUTED_VALUE"""),0.028287037037037038)</f>
        <v>0.02828703704</v>
      </c>
      <c r="H69" s="151"/>
      <c r="I69" s="140"/>
      <c r="J69" s="140"/>
      <c r="K69" s="140"/>
      <c r="L69" s="147"/>
      <c r="M69" s="153"/>
      <c r="N69" s="147"/>
      <c r="O69" s="141"/>
      <c r="P69" s="141"/>
      <c r="Q69" s="151"/>
      <c r="R69" s="140"/>
      <c r="S69" s="140"/>
    </row>
    <row r="70" ht="33.75" customHeight="1">
      <c r="A70" s="140"/>
      <c r="B70" s="140"/>
      <c r="C70" s="147">
        <f>IFERROR(__xludf.DUMMYFUNCTION("""COMPUTED_VALUE"""),2211317.0)</f>
        <v>2211317</v>
      </c>
      <c r="D70" s="148" t="str">
        <f>IFERROR(__xludf.DUMMYFUNCTION("""COMPUTED_VALUE"""),"Data Dashboards in Power BI")</f>
        <v>Data Dashboards in Power BI</v>
      </c>
      <c r="E70" s="147" t="str">
        <f>IFERROR(__xludf.DUMMYFUNCTION("""COMPUTED_VALUE"""),"General")</f>
        <v>General</v>
      </c>
      <c r="F70" s="141" t="str">
        <f>IFERROR(__xludf.DUMMYFUNCTION("""COMPUTED_VALUE"""),"Intermediate")</f>
        <v>Intermediate</v>
      </c>
      <c r="G70" s="143">
        <f>IFERROR(__xludf.DUMMYFUNCTION("""COMPUTED_VALUE"""),0.20336805555555557)</f>
        <v>0.2033680556</v>
      </c>
      <c r="H70" s="151"/>
      <c r="I70" s="140"/>
      <c r="J70" s="140"/>
      <c r="K70" s="140"/>
      <c r="L70" s="147"/>
      <c r="M70" s="153"/>
      <c r="N70" s="147"/>
      <c r="O70" s="141"/>
      <c r="P70" s="141"/>
      <c r="Q70" s="151"/>
      <c r="R70" s="140"/>
      <c r="S70" s="140"/>
    </row>
    <row r="71" ht="33.75" customHeight="1">
      <c r="A71" s="140"/>
      <c r="B71" s="140"/>
      <c r="C71" s="147">
        <f>IFERROR(__xludf.DUMMYFUNCTION("""COMPUTED_VALUE"""),2211318.0)</f>
        <v>2211318</v>
      </c>
      <c r="D71" s="148" t="str">
        <f>IFERROR(__xludf.DUMMYFUNCTION("""COMPUTED_VALUE"""),"Power BI Data Methods")</f>
        <v>Power BI Data Methods</v>
      </c>
      <c r="E71" s="147" t="str">
        <f>IFERROR(__xludf.DUMMYFUNCTION("""COMPUTED_VALUE"""),"General")</f>
        <v>General</v>
      </c>
      <c r="F71" s="141" t="str">
        <f>IFERROR(__xludf.DUMMYFUNCTION("""COMPUTED_VALUE"""),"Intermediate")</f>
        <v>Intermediate</v>
      </c>
      <c r="G71" s="143">
        <f>IFERROR(__xludf.DUMMYFUNCTION("""COMPUTED_VALUE"""),0.16421296296296295)</f>
        <v>0.164212963</v>
      </c>
      <c r="H71" s="151"/>
      <c r="I71" s="140"/>
      <c r="J71" s="140"/>
      <c r="K71" s="140"/>
      <c r="L71" s="147"/>
      <c r="M71" s="153"/>
      <c r="N71" s="147"/>
      <c r="O71" s="141"/>
      <c r="P71" s="141"/>
      <c r="Q71" s="151"/>
      <c r="R71" s="140"/>
      <c r="S71" s="140"/>
    </row>
    <row r="72" ht="33.75" customHeight="1">
      <c r="A72" s="140"/>
      <c r="B72" s="140"/>
      <c r="C72" s="147">
        <f>IFERROR(__xludf.DUMMYFUNCTION("""COMPUTED_VALUE"""),2243053.0)</f>
        <v>2243053</v>
      </c>
      <c r="D72" s="148" t="str">
        <f>IFERROR(__xludf.DUMMYFUNCTION("""COMPUTED_VALUE"""),"Using Python with Excel")</f>
        <v>Using Python with Excel</v>
      </c>
      <c r="E72" s="147" t="str">
        <f>IFERROR(__xludf.DUMMYFUNCTION("""COMPUTED_VALUE"""),"General")</f>
        <v>General</v>
      </c>
      <c r="F72" s="141" t="str">
        <f>IFERROR(__xludf.DUMMYFUNCTION("""COMPUTED_VALUE"""),"Intermediate")</f>
        <v>Intermediate</v>
      </c>
      <c r="G72" s="143">
        <f>IFERROR(__xludf.DUMMYFUNCTION("""COMPUTED_VALUE"""),0.0571412037037037)</f>
        <v>0.0571412037</v>
      </c>
      <c r="H72" s="151"/>
      <c r="I72" s="140"/>
      <c r="J72" s="140"/>
      <c r="K72" s="140"/>
      <c r="L72" s="147"/>
      <c r="M72" s="153"/>
      <c r="N72" s="147"/>
      <c r="O72" s="141"/>
      <c r="P72" s="141"/>
      <c r="Q72" s="151"/>
      <c r="R72" s="140"/>
      <c r="S72" s="140"/>
    </row>
    <row r="73" ht="33.75" customHeight="1">
      <c r="A73" s="140"/>
      <c r="B73" s="140"/>
      <c r="C73" s="147">
        <f>IFERROR(__xludf.DUMMYFUNCTION("""COMPUTED_VALUE"""),2243054.0)</f>
        <v>2243054</v>
      </c>
      <c r="D73" s="148" t="str">
        <f>IFERROR(__xludf.DUMMYFUNCTION("""COMPUTED_VALUE"""),"Python for Data Visualization")</f>
        <v>Python for Data Visualization</v>
      </c>
      <c r="E73" s="147" t="str">
        <f>IFERROR(__xludf.DUMMYFUNCTION("""COMPUTED_VALUE"""),"General")</f>
        <v>General</v>
      </c>
      <c r="F73" s="141" t="str">
        <f>IFERROR(__xludf.DUMMYFUNCTION("""COMPUTED_VALUE"""),"Intermediate")</f>
        <v>Intermediate</v>
      </c>
      <c r="G73" s="143">
        <f>IFERROR(__xludf.DUMMYFUNCTION("""COMPUTED_VALUE"""),0.056574074074074075)</f>
        <v>0.05657407407</v>
      </c>
      <c r="H73" s="151"/>
      <c r="I73" s="140"/>
      <c r="J73" s="140"/>
      <c r="K73" s="140"/>
      <c r="L73" s="147"/>
      <c r="M73" s="153"/>
      <c r="N73" s="147"/>
      <c r="O73" s="141"/>
      <c r="P73" s="141"/>
      <c r="Q73" s="151"/>
      <c r="R73" s="140"/>
      <c r="S73" s="140"/>
    </row>
    <row r="74" ht="33.75" customHeight="1">
      <c r="A74" s="140"/>
      <c r="B74" s="140"/>
      <c r="C74" s="147">
        <f>IFERROR(__xludf.DUMMYFUNCTION("""COMPUTED_VALUE"""),2817027.0)</f>
        <v>2817027</v>
      </c>
      <c r="D74" s="148" t="str">
        <f>IFERROR(__xludf.DUMMYFUNCTION("""COMPUTED_VALUE"""),"SQL: Data Reporting and Analysis")</f>
        <v>SQL: Data Reporting and Analysis</v>
      </c>
      <c r="E74" s="147" t="str">
        <f>IFERROR(__xludf.DUMMYFUNCTION("""COMPUTED_VALUE"""),"General")</f>
        <v>General</v>
      </c>
      <c r="F74" s="141" t="str">
        <f>IFERROR(__xludf.DUMMYFUNCTION("""COMPUTED_VALUE"""),"Intermediate")</f>
        <v>Intermediate</v>
      </c>
      <c r="G74" s="143">
        <f>IFERROR(__xludf.DUMMYFUNCTION("""COMPUTED_VALUE"""),0.09582175925925926)</f>
        <v>0.09582175926</v>
      </c>
      <c r="H74" s="151"/>
      <c r="I74" s="140"/>
      <c r="J74" s="140"/>
      <c r="K74" s="140"/>
      <c r="L74" s="147"/>
      <c r="M74" s="153"/>
      <c r="N74" s="147"/>
      <c r="O74" s="141"/>
      <c r="P74" s="141"/>
      <c r="Q74" s="151"/>
      <c r="R74" s="140"/>
      <c r="S74" s="140"/>
    </row>
    <row r="75" ht="33.75" customHeight="1">
      <c r="A75" s="140"/>
      <c r="B75" s="140"/>
      <c r="C75" s="147">
        <f>IFERROR(__xludf.DUMMYFUNCTION("""COMPUTED_VALUE"""),2819185.0)</f>
        <v>2819185</v>
      </c>
      <c r="D75" s="148" t="str">
        <f>IFERROR(__xludf.DUMMYFUNCTION("""COMPUTED_VALUE"""),"Power BI Dataflows Essential Training")</f>
        <v>Power BI Dataflows Essential Training</v>
      </c>
      <c r="E75" s="147" t="str">
        <f>IFERROR(__xludf.DUMMYFUNCTION("""COMPUTED_VALUE"""),"General")</f>
        <v>General</v>
      </c>
      <c r="F75" s="141" t="str">
        <f>IFERROR(__xludf.DUMMYFUNCTION("""COMPUTED_VALUE"""),"Intermediate")</f>
        <v>Intermediate</v>
      </c>
      <c r="G75" s="143">
        <f>IFERROR(__xludf.DUMMYFUNCTION("""COMPUTED_VALUE"""),0.06114583333333334)</f>
        <v>0.06114583333</v>
      </c>
      <c r="H75" s="151"/>
      <c r="I75" s="140"/>
      <c r="J75" s="140"/>
      <c r="K75" s="140"/>
      <c r="L75" s="147"/>
      <c r="M75" s="153"/>
      <c r="N75" s="147"/>
      <c r="O75" s="141"/>
      <c r="P75" s="141"/>
      <c r="Q75" s="151"/>
      <c r="R75" s="140"/>
      <c r="S75" s="140"/>
    </row>
    <row r="76" ht="33.75" customHeight="1">
      <c r="A76" s="140"/>
      <c r="B76" s="140"/>
      <c r="C76" s="147">
        <f>IFERROR(__xludf.DUMMYFUNCTION("""COMPUTED_VALUE"""),2823043.0)</f>
        <v>2823043</v>
      </c>
      <c r="D76" s="148" t="str">
        <f>IFERROR(__xludf.DUMMYFUNCTION("""COMPUTED_VALUE"""),"SAP ERP: Beyond the Basics")</f>
        <v>SAP ERP: Beyond the Basics</v>
      </c>
      <c r="E76" s="147" t="str">
        <f>IFERROR(__xludf.DUMMYFUNCTION("""COMPUTED_VALUE"""),"General")</f>
        <v>General</v>
      </c>
      <c r="F76" s="141" t="str">
        <f>IFERROR(__xludf.DUMMYFUNCTION("""COMPUTED_VALUE"""),"Intermediate")</f>
        <v>Intermediate</v>
      </c>
      <c r="G76" s="143">
        <f>IFERROR(__xludf.DUMMYFUNCTION("""COMPUTED_VALUE"""),0.05935185185185185)</f>
        <v>0.05935185185</v>
      </c>
      <c r="H76" s="151"/>
      <c r="I76" s="140"/>
      <c r="J76" s="140"/>
      <c r="K76" s="140"/>
      <c r="L76" s="147"/>
      <c r="M76" s="153"/>
      <c r="N76" s="147"/>
      <c r="O76" s="141"/>
      <c r="P76" s="141"/>
      <c r="Q76" s="151"/>
      <c r="R76" s="140"/>
      <c r="S76" s="140"/>
    </row>
    <row r="77" ht="33.75" customHeight="1">
      <c r="A77" s="140"/>
      <c r="B77" s="140"/>
      <c r="C77" s="147">
        <f>IFERROR(__xludf.DUMMYFUNCTION("""COMPUTED_VALUE"""),2823072.0)</f>
        <v>2823072</v>
      </c>
      <c r="D77" s="148" t="str">
        <f>IFERROR(__xludf.DUMMYFUNCTION("""COMPUTED_VALUE"""),"Tableau and R for Analytics Projects")</f>
        <v>Tableau and R for Analytics Projects</v>
      </c>
      <c r="E77" s="147" t="str">
        <f>IFERROR(__xludf.DUMMYFUNCTION("""COMPUTED_VALUE"""),"General")</f>
        <v>General</v>
      </c>
      <c r="F77" s="141" t="str">
        <f>IFERROR(__xludf.DUMMYFUNCTION("""COMPUTED_VALUE"""),"Intermediate")</f>
        <v>Intermediate</v>
      </c>
      <c r="G77" s="143">
        <f>IFERROR(__xludf.DUMMYFUNCTION("""COMPUTED_VALUE"""),0.10261574074074074)</f>
        <v>0.1026157407</v>
      </c>
      <c r="H77" s="151"/>
      <c r="I77" s="140"/>
      <c r="J77" s="140"/>
      <c r="K77" s="140"/>
      <c r="L77" s="147"/>
      <c r="M77" s="153"/>
      <c r="N77" s="147"/>
      <c r="O77" s="141"/>
      <c r="P77" s="141"/>
      <c r="Q77" s="151"/>
      <c r="R77" s="140"/>
      <c r="S77" s="140"/>
    </row>
    <row r="78" ht="33.75" customHeight="1">
      <c r="A78" s="140"/>
      <c r="B78" s="140"/>
      <c r="C78" s="147">
        <f>IFERROR(__xludf.DUMMYFUNCTION("""COMPUTED_VALUE"""),2823097.0)</f>
        <v>2823097</v>
      </c>
      <c r="D78" s="148" t="str">
        <f>IFERROR(__xludf.DUMMYFUNCTION("""COMPUTED_VALUE"""),"ABAP for SAP Users")</f>
        <v>ABAP for SAP Users</v>
      </c>
      <c r="E78" s="147" t="str">
        <f>IFERROR(__xludf.DUMMYFUNCTION("""COMPUTED_VALUE"""),"General")</f>
        <v>General</v>
      </c>
      <c r="F78" s="141" t="str">
        <f>IFERROR(__xludf.DUMMYFUNCTION("""COMPUTED_VALUE"""),"Intermediate")</f>
        <v>Intermediate</v>
      </c>
      <c r="G78" s="143">
        <f>IFERROR(__xludf.DUMMYFUNCTION("""COMPUTED_VALUE"""),0.052800925925925925)</f>
        <v>0.05280092593</v>
      </c>
      <c r="H78" s="151"/>
      <c r="I78" s="140"/>
      <c r="J78" s="140"/>
      <c r="K78" s="140"/>
      <c r="L78" s="147"/>
      <c r="M78" s="153"/>
      <c r="N78" s="147"/>
      <c r="O78" s="141"/>
      <c r="P78" s="141"/>
      <c r="Q78" s="151"/>
      <c r="R78" s="140"/>
      <c r="S78" s="140"/>
    </row>
    <row r="79" ht="33.75" customHeight="1">
      <c r="A79" s="140"/>
      <c r="B79" s="140"/>
      <c r="C79" s="147">
        <f>IFERROR(__xludf.DUMMYFUNCTION("""COMPUTED_VALUE"""),2823098.0)</f>
        <v>2823098</v>
      </c>
      <c r="D79" s="148" t="str">
        <f>IFERROR(__xludf.DUMMYFUNCTION("""COMPUTED_VALUE"""),"Review and Manage the SAP MRP List")</f>
        <v>Review and Manage the SAP MRP List</v>
      </c>
      <c r="E79" s="147" t="str">
        <f>IFERROR(__xludf.DUMMYFUNCTION("""COMPUTED_VALUE"""),"General")</f>
        <v>General</v>
      </c>
      <c r="F79" s="141" t="str">
        <f>IFERROR(__xludf.DUMMYFUNCTION("""COMPUTED_VALUE"""),"Intermediate")</f>
        <v>Intermediate</v>
      </c>
      <c r="G79" s="143">
        <f>IFERROR(__xludf.DUMMYFUNCTION("""COMPUTED_VALUE"""),0.01605324074074074)</f>
        <v>0.01605324074</v>
      </c>
      <c r="H79" s="151"/>
      <c r="I79" s="140"/>
      <c r="J79" s="140"/>
      <c r="K79" s="140"/>
      <c r="L79" s="147"/>
      <c r="M79" s="153"/>
      <c r="N79" s="147"/>
      <c r="O79" s="141"/>
      <c r="P79" s="141"/>
      <c r="Q79" s="151"/>
      <c r="R79" s="140"/>
      <c r="S79" s="140"/>
    </row>
    <row r="80" ht="33.75" customHeight="1">
      <c r="A80" s="140"/>
      <c r="B80" s="140"/>
      <c r="C80" s="147">
        <f>IFERROR(__xludf.DUMMYFUNCTION("""COMPUTED_VALUE"""),5019812.0)</f>
        <v>5019812</v>
      </c>
      <c r="D80" s="148" t="str">
        <f>IFERROR(__xludf.DUMMYFUNCTION("""COMPUTED_VALUE"""),"AI in Business Essential Training")</f>
        <v>AI in Business Essential Training</v>
      </c>
      <c r="E80" s="147" t="str">
        <f>IFERROR(__xludf.DUMMYFUNCTION("""COMPUTED_VALUE"""),"General")</f>
        <v>General</v>
      </c>
      <c r="F80" s="141" t="str">
        <f>IFERROR(__xludf.DUMMYFUNCTION("""COMPUTED_VALUE"""),"Intermediate")</f>
        <v>Intermediate</v>
      </c>
      <c r="G80" s="143">
        <f>IFERROR(__xludf.DUMMYFUNCTION("""COMPUTED_VALUE"""),0.0596875)</f>
        <v>0.0596875</v>
      </c>
      <c r="H80" s="151"/>
      <c r="I80" s="140"/>
      <c r="J80" s="140"/>
      <c r="K80" s="140"/>
      <c r="L80" s="147"/>
      <c r="M80" s="153"/>
      <c r="N80" s="147"/>
      <c r="O80" s="141"/>
      <c r="P80" s="141"/>
      <c r="Q80" s="151"/>
      <c r="R80" s="140"/>
      <c r="S80" s="140"/>
    </row>
    <row r="81" ht="33.75" customHeight="1">
      <c r="A81" s="154"/>
      <c r="B81" s="154"/>
      <c r="C81" s="147">
        <f>IFERROR(__xludf.DUMMYFUNCTION("""COMPUTED_VALUE"""),5019813.0)</f>
        <v>5019813</v>
      </c>
      <c r="D81" s="148" t="str">
        <f>IFERROR(__xludf.DUMMYFUNCTION("""COMPUTED_VALUE"""),"AI in Fintech Essential Training")</f>
        <v>AI in Fintech Essential Training</v>
      </c>
      <c r="E81" s="147" t="str">
        <f>IFERROR(__xludf.DUMMYFUNCTION("""COMPUTED_VALUE"""),"General")</f>
        <v>General</v>
      </c>
      <c r="F81" s="141" t="str">
        <f>IFERROR(__xludf.DUMMYFUNCTION("""COMPUTED_VALUE"""),"Intermediate")</f>
        <v>Intermediate</v>
      </c>
      <c r="G81" s="143">
        <f>IFERROR(__xludf.DUMMYFUNCTION("""COMPUTED_VALUE"""),0.06487268518518519)</f>
        <v>0.06487268519</v>
      </c>
      <c r="H81" s="151"/>
      <c r="I81" s="154"/>
      <c r="J81" s="154"/>
      <c r="K81" s="154"/>
      <c r="L81" s="147"/>
      <c r="M81" s="153"/>
      <c r="N81" s="147"/>
      <c r="O81" s="141"/>
      <c r="P81" s="141"/>
      <c r="Q81" s="151"/>
      <c r="R81" s="154"/>
      <c r="S81" s="154"/>
    </row>
    <row r="82" ht="33.75" customHeight="1">
      <c r="A82" s="154"/>
      <c r="B82" s="154"/>
      <c r="C82" s="147">
        <f>IFERROR(__xludf.DUMMYFUNCTION("""COMPUTED_VALUE"""),2823564.0)</f>
        <v>2823564</v>
      </c>
      <c r="D82" s="148" t="str">
        <f>IFERROR(__xludf.DUMMYFUNCTION("""COMPUTED_VALUE"""),"Excel: Avoiding Common Mistakes (Office 365/Excel 2019)")</f>
        <v>Excel: Avoiding Common Mistakes (Office 365/Excel 2019)</v>
      </c>
      <c r="E82" s="147" t="str">
        <f>IFERROR(__xludf.DUMMYFUNCTION("""COMPUTED_VALUE"""),"General")</f>
        <v>General</v>
      </c>
      <c r="F82" s="141" t="str">
        <f>IFERROR(__xludf.DUMMYFUNCTION("""COMPUTED_VALUE"""),"Intermediate")</f>
        <v>Intermediate</v>
      </c>
      <c r="G82" s="143">
        <f>IFERROR(__xludf.DUMMYFUNCTION("""COMPUTED_VALUE"""),0.031516203703703706)</f>
        <v>0.0315162037</v>
      </c>
      <c r="H82" s="151"/>
      <c r="I82" s="154"/>
      <c r="J82" s="154"/>
      <c r="K82" s="154"/>
      <c r="L82" s="147"/>
      <c r="M82" s="153"/>
      <c r="N82" s="147"/>
      <c r="O82" s="141"/>
      <c r="P82" s="141"/>
      <c r="Q82" s="151"/>
      <c r="R82" s="154"/>
      <c r="S82" s="154"/>
    </row>
    <row r="83" ht="33.75" customHeight="1">
      <c r="A83" s="154"/>
      <c r="B83" s="154"/>
      <c r="C83" s="147">
        <f>IFERROR(__xludf.DUMMYFUNCTION("""COMPUTED_VALUE"""),2817226.0)</f>
        <v>2817226</v>
      </c>
      <c r="D83" s="148" t="str">
        <f>IFERROR(__xludf.DUMMYFUNCTION("""COMPUTED_VALUE"""),"The Data Science of Experimental Design")</f>
        <v>The Data Science of Experimental Design</v>
      </c>
      <c r="E83" s="147" t="str">
        <f>IFERROR(__xludf.DUMMYFUNCTION("""COMPUTED_VALUE"""),"General")</f>
        <v>General</v>
      </c>
      <c r="F83" s="141" t="str">
        <f>IFERROR(__xludf.DUMMYFUNCTION("""COMPUTED_VALUE"""),"Intermediate")</f>
        <v>Intermediate</v>
      </c>
      <c r="G83" s="143">
        <f>IFERROR(__xludf.DUMMYFUNCTION("""COMPUTED_VALUE"""),0.14979166666666666)</f>
        <v>0.1497916667</v>
      </c>
      <c r="H83" s="151"/>
      <c r="I83" s="154"/>
      <c r="J83" s="154"/>
      <c r="K83" s="154"/>
      <c r="L83" s="147"/>
      <c r="M83" s="153"/>
      <c r="N83" s="147"/>
      <c r="O83" s="141"/>
      <c r="P83" s="141"/>
      <c r="Q83" s="151"/>
      <c r="R83" s="154"/>
      <c r="S83" s="154"/>
    </row>
    <row r="84" ht="33.75" customHeight="1">
      <c r="A84" s="154"/>
      <c r="B84" s="154"/>
      <c r="C84" s="147">
        <f>IFERROR(__xludf.DUMMYFUNCTION("""COMPUTED_VALUE"""),2822461.0)</f>
        <v>2822461</v>
      </c>
      <c r="D84" s="148" t="str">
        <f>IFERROR(__xludf.DUMMYFUNCTION("""COMPUTED_VALUE"""),"Side Hustle Strategies for Data Science and Analytics Experts")</f>
        <v>Side Hustle Strategies for Data Science and Analytics Experts</v>
      </c>
      <c r="E84" s="147" t="str">
        <f>IFERROR(__xludf.DUMMYFUNCTION("""COMPUTED_VALUE"""),"General")</f>
        <v>General</v>
      </c>
      <c r="F84" s="141" t="str">
        <f>IFERROR(__xludf.DUMMYFUNCTION("""COMPUTED_VALUE"""),"Intermediate")</f>
        <v>Intermediate</v>
      </c>
      <c r="G84" s="143">
        <f>IFERROR(__xludf.DUMMYFUNCTION("""COMPUTED_VALUE"""),0.0584837962962963)</f>
        <v>0.0584837963</v>
      </c>
      <c r="H84" s="151"/>
      <c r="I84" s="154"/>
      <c r="J84" s="154"/>
      <c r="K84" s="154"/>
      <c r="L84" s="147"/>
      <c r="M84" s="153"/>
      <c r="N84" s="147"/>
      <c r="O84" s="141"/>
      <c r="P84" s="141"/>
      <c r="Q84" s="151"/>
      <c r="R84" s="154"/>
      <c r="S84" s="154"/>
    </row>
    <row r="85" ht="33.75" customHeight="1">
      <c r="A85" s="154"/>
      <c r="B85" s="154"/>
      <c r="C85" s="147">
        <f>IFERROR(__xludf.DUMMYFUNCTION("""COMPUTED_VALUE"""),2828018.0)</f>
        <v>2828018</v>
      </c>
      <c r="D85" s="148" t="str">
        <f>IFERROR(__xludf.DUMMYFUNCTION("""COMPUTED_VALUE"""),"PostgreSQL Essential Training")</f>
        <v>PostgreSQL Essential Training</v>
      </c>
      <c r="E85" s="147" t="str">
        <f>IFERROR(__xludf.DUMMYFUNCTION("""COMPUTED_VALUE"""),"General")</f>
        <v>General</v>
      </c>
      <c r="F85" s="141" t="str">
        <f>IFERROR(__xludf.DUMMYFUNCTION("""COMPUTED_VALUE"""),"Intermediate")</f>
        <v>Intermediate</v>
      </c>
      <c r="G85" s="143">
        <f>IFERROR(__xludf.DUMMYFUNCTION("""COMPUTED_VALUE"""),0.1136574074074074)</f>
        <v>0.1136574074</v>
      </c>
      <c r="H85" s="151"/>
      <c r="I85" s="154"/>
      <c r="J85" s="154"/>
      <c r="K85" s="154"/>
      <c r="L85" s="147"/>
      <c r="M85" s="153"/>
      <c r="N85" s="147"/>
      <c r="O85" s="141"/>
      <c r="P85" s="141"/>
      <c r="Q85" s="151"/>
      <c r="R85" s="154"/>
      <c r="S85" s="154"/>
    </row>
    <row r="86" ht="33.75" customHeight="1">
      <c r="A86" s="154"/>
      <c r="B86" s="154"/>
      <c r="C86" s="147">
        <f>IFERROR(__xludf.DUMMYFUNCTION("""COMPUTED_VALUE"""),2825746.0)</f>
        <v>2825746</v>
      </c>
      <c r="D86" s="148" t="str">
        <f>IFERROR(__xludf.DUMMYFUNCTION("""COMPUTED_VALUE"""),"Data Visualization for Data Analysis and Analytics")</f>
        <v>Data Visualization for Data Analysis and Analytics</v>
      </c>
      <c r="E86" s="147" t="str">
        <f>IFERROR(__xludf.DUMMYFUNCTION("""COMPUTED_VALUE"""),"General")</f>
        <v>General</v>
      </c>
      <c r="F86" s="141" t="str">
        <f>IFERROR(__xludf.DUMMYFUNCTION("""COMPUTED_VALUE"""),"Intermediate")</f>
        <v>Intermediate</v>
      </c>
      <c r="G86" s="143">
        <f>IFERROR(__xludf.DUMMYFUNCTION("""COMPUTED_VALUE"""),0.0694675925925926)</f>
        <v>0.06946759259</v>
      </c>
      <c r="H86" s="151"/>
      <c r="I86" s="154"/>
      <c r="J86" s="154"/>
      <c r="K86" s="154"/>
      <c r="L86" s="147"/>
      <c r="M86" s="153"/>
      <c r="N86" s="147"/>
      <c r="O86" s="141"/>
      <c r="P86" s="141"/>
      <c r="Q86" s="151"/>
      <c r="R86" s="154"/>
      <c r="S86" s="154"/>
    </row>
    <row r="87" ht="33.75" customHeight="1">
      <c r="A87" s="154"/>
      <c r="B87" s="154"/>
      <c r="C87" s="147">
        <f>IFERROR(__xludf.DUMMYFUNCTION("""COMPUTED_VALUE"""),699332.0)</f>
        <v>699332</v>
      </c>
      <c r="D87" s="148" t="str">
        <f>IFERROR(__xludf.DUMMYFUNCTION("""COMPUTED_VALUE"""),"Learning Digital Business Analysis")</f>
        <v>Learning Digital Business Analysis</v>
      </c>
      <c r="E87" s="147" t="str">
        <f>IFERROR(__xludf.DUMMYFUNCTION("""COMPUTED_VALUE"""),"General")</f>
        <v>General</v>
      </c>
      <c r="F87" s="141" t="str">
        <f>IFERROR(__xludf.DUMMYFUNCTION("""COMPUTED_VALUE"""),"Intermediate")</f>
        <v>Intermediate</v>
      </c>
      <c r="G87" s="143">
        <f>IFERROR(__xludf.DUMMYFUNCTION("""COMPUTED_VALUE"""),0.060208333333333336)</f>
        <v>0.06020833333</v>
      </c>
      <c r="H87" s="151"/>
      <c r="I87" s="154"/>
      <c r="J87" s="154"/>
      <c r="K87" s="154"/>
      <c r="L87" s="147"/>
      <c r="M87" s="153"/>
      <c r="N87" s="147"/>
      <c r="O87" s="141"/>
      <c r="P87" s="141"/>
      <c r="Q87" s="151"/>
      <c r="R87" s="154"/>
      <c r="S87" s="154"/>
    </row>
    <row r="88" ht="33.75" customHeight="1">
      <c r="A88" s="154"/>
      <c r="B88" s="154"/>
      <c r="C88" s="147">
        <f>IFERROR(__xludf.DUMMYFUNCTION("""COMPUTED_VALUE"""),721913.0)</f>
        <v>721913</v>
      </c>
      <c r="D88" s="148" t="str">
        <f>IFERROR(__xludf.DUMMYFUNCTION("""COMPUTED_VALUE"""),"Agile Analysis Weekly Tips")</f>
        <v>Agile Analysis Weekly Tips</v>
      </c>
      <c r="E88" s="147" t="str">
        <f>IFERROR(__xludf.DUMMYFUNCTION("""COMPUTED_VALUE"""),"General")</f>
        <v>General</v>
      </c>
      <c r="F88" s="141" t="str">
        <f>IFERROR(__xludf.DUMMYFUNCTION("""COMPUTED_VALUE"""),"Intermediate")</f>
        <v>Intermediate</v>
      </c>
      <c r="G88" s="143">
        <f>IFERROR(__xludf.DUMMYFUNCTION("""COMPUTED_VALUE"""),0.10532407407407407)</f>
        <v>0.1053240741</v>
      </c>
      <c r="H88" s="151"/>
      <c r="I88" s="154"/>
      <c r="J88" s="154"/>
      <c r="K88" s="154"/>
      <c r="L88" s="147"/>
      <c r="M88" s="153"/>
      <c r="N88" s="147"/>
      <c r="O88" s="141"/>
      <c r="P88" s="141"/>
      <c r="Q88" s="151"/>
      <c r="R88" s="154"/>
      <c r="S88" s="154"/>
    </row>
    <row r="89">
      <c r="A89" s="154"/>
      <c r="B89" s="154"/>
      <c r="C89" s="147">
        <f>IFERROR(__xludf.DUMMYFUNCTION("""COMPUTED_VALUE"""),761931.0)</f>
        <v>761931</v>
      </c>
      <c r="D89" s="148" t="str">
        <f>IFERROR(__xludf.DUMMYFUNCTION("""COMPUTED_VALUE"""),"Cert Prep: Agile Analysis (IIBA®-AAC)")</f>
        <v>Cert Prep: Agile Analysis (IIBA®-AAC)</v>
      </c>
      <c r="E89" s="147" t="str">
        <f>IFERROR(__xludf.DUMMYFUNCTION("""COMPUTED_VALUE"""),"General")</f>
        <v>General</v>
      </c>
      <c r="F89" s="141" t="str">
        <f>IFERROR(__xludf.DUMMYFUNCTION("""COMPUTED_VALUE"""),"Intermediate")</f>
        <v>Intermediate</v>
      </c>
      <c r="G89" s="143">
        <f>IFERROR(__xludf.DUMMYFUNCTION("""COMPUTED_VALUE"""),0.09697916666666667)</f>
        <v>0.09697916667</v>
      </c>
      <c r="H89" s="151"/>
      <c r="I89" s="154"/>
      <c r="J89" s="154"/>
      <c r="K89" s="154"/>
      <c r="L89" s="147"/>
      <c r="M89" s="153"/>
      <c r="N89" s="147"/>
      <c r="O89" s="141"/>
      <c r="P89" s="141"/>
      <c r="Q89" s="151"/>
      <c r="R89" s="154"/>
      <c r="S89" s="154"/>
    </row>
    <row r="90">
      <c r="A90" s="154"/>
      <c r="B90" s="154"/>
      <c r="C90" s="155">
        <f>IFERROR(__xludf.DUMMYFUNCTION("""COMPUTED_VALUE"""),601772.0)</f>
        <v>601772</v>
      </c>
      <c r="D90" s="161" t="str">
        <f>IFERROR(__xludf.DUMMYFUNCTION("""COMPUTED_VALUE"""),"Business Analyst and Project Manager Collaboration")</f>
        <v>Business Analyst and Project Manager Collaboration</v>
      </c>
      <c r="E90" s="155" t="str">
        <f>IFERROR(__xludf.DUMMYFUNCTION("""COMPUTED_VALUE"""),"General")</f>
        <v>General</v>
      </c>
      <c r="F90" s="155" t="str">
        <f>IFERROR(__xludf.DUMMYFUNCTION("""COMPUTED_VALUE"""),"Intermediate")</f>
        <v>Intermediate</v>
      </c>
      <c r="G90" s="162">
        <f>IFERROR(__xludf.DUMMYFUNCTION("""COMPUTED_VALUE"""),0.039502314814814816)</f>
        <v>0.03950231481</v>
      </c>
      <c r="H90" s="157"/>
      <c r="I90" s="154"/>
      <c r="J90" s="154"/>
      <c r="K90" s="154"/>
      <c r="L90" s="155"/>
      <c r="M90" s="156"/>
      <c r="N90" s="155"/>
      <c r="O90" s="155"/>
      <c r="P90" s="155"/>
      <c r="Q90" s="157"/>
      <c r="R90" s="154"/>
      <c r="S90" s="154"/>
    </row>
    <row r="91">
      <c r="A91" s="154"/>
      <c r="B91" s="154"/>
      <c r="C91" s="155">
        <f>IFERROR(__xludf.DUMMYFUNCTION("""COMPUTED_VALUE"""),2887178.0)</f>
        <v>2887178</v>
      </c>
      <c r="D91" s="161" t="str">
        <f>IFERROR(__xludf.DUMMYFUNCTION("""COMPUTED_VALUE"""),"Microsoft Power Apps: Using the Dataverse (Formerly the Common Data Service)")</f>
        <v>Microsoft Power Apps: Using the Dataverse (Formerly the Common Data Service)</v>
      </c>
      <c r="E91" s="155" t="str">
        <f>IFERROR(__xludf.DUMMYFUNCTION("""COMPUTED_VALUE"""),"General")</f>
        <v>General</v>
      </c>
      <c r="F91" s="155" t="str">
        <f>IFERROR(__xludf.DUMMYFUNCTION("""COMPUTED_VALUE"""),"Intermediate")</f>
        <v>Intermediate</v>
      </c>
      <c r="G91" s="162">
        <f>IFERROR(__xludf.DUMMYFUNCTION("""COMPUTED_VALUE"""),0.04451388888888889)</f>
        <v>0.04451388889</v>
      </c>
      <c r="H91" s="157"/>
      <c r="I91" s="154"/>
      <c r="J91" s="154"/>
      <c r="K91" s="154"/>
      <c r="L91" s="155"/>
      <c r="M91" s="156"/>
      <c r="N91" s="155"/>
      <c r="O91" s="155"/>
      <c r="P91" s="155"/>
      <c r="Q91" s="157"/>
      <c r="R91" s="154"/>
      <c r="S91" s="154"/>
    </row>
    <row r="92">
      <c r="A92" s="154"/>
      <c r="B92" s="154"/>
      <c r="C92" s="155"/>
      <c r="D92" s="156"/>
      <c r="E92" s="155"/>
      <c r="F92" s="155"/>
      <c r="G92" s="155"/>
      <c r="H92" s="157"/>
      <c r="I92" s="154"/>
      <c r="J92" s="154"/>
      <c r="K92" s="154"/>
      <c r="L92" s="155"/>
      <c r="M92" s="156"/>
      <c r="N92" s="155"/>
      <c r="O92" s="155"/>
      <c r="P92" s="155"/>
      <c r="Q92" s="157"/>
      <c r="R92" s="154"/>
      <c r="S92" s="154"/>
    </row>
    <row r="93">
      <c r="A93" s="154"/>
      <c r="B93" s="154"/>
      <c r="C93" s="155"/>
      <c r="D93" s="156"/>
      <c r="E93" s="155"/>
      <c r="F93" s="155"/>
      <c r="G93" s="155"/>
      <c r="H93" s="157"/>
      <c r="I93" s="154"/>
      <c r="J93" s="154"/>
      <c r="K93" s="154"/>
      <c r="L93" s="155"/>
      <c r="M93" s="156"/>
      <c r="N93" s="155"/>
      <c r="O93" s="155"/>
      <c r="P93" s="155"/>
      <c r="Q93" s="157"/>
      <c r="R93" s="154"/>
      <c r="S93" s="154"/>
    </row>
    <row r="94">
      <c r="A94" s="154"/>
      <c r="B94" s="154"/>
      <c r="C94" s="155"/>
      <c r="D94" s="156"/>
      <c r="E94" s="155"/>
      <c r="F94" s="155"/>
      <c r="G94" s="155"/>
      <c r="H94" s="157"/>
      <c r="I94" s="154"/>
      <c r="J94" s="154"/>
      <c r="K94" s="154"/>
      <c r="L94" s="155"/>
      <c r="M94" s="156"/>
      <c r="N94" s="155"/>
      <c r="O94" s="155"/>
      <c r="P94" s="155"/>
      <c r="Q94" s="157"/>
      <c r="R94" s="154"/>
      <c r="S94" s="154"/>
    </row>
    <row r="95">
      <c r="A95" s="154"/>
      <c r="B95" s="154"/>
      <c r="C95" s="155"/>
      <c r="D95" s="156"/>
      <c r="E95" s="155"/>
      <c r="F95" s="155"/>
      <c r="G95" s="155"/>
      <c r="H95" s="157"/>
      <c r="I95" s="154"/>
      <c r="J95" s="154"/>
      <c r="K95" s="154"/>
      <c r="L95" s="155"/>
      <c r="M95" s="156"/>
      <c r="N95" s="155"/>
      <c r="O95" s="155"/>
      <c r="P95" s="155"/>
      <c r="Q95" s="157"/>
      <c r="R95" s="154"/>
      <c r="S95" s="154"/>
    </row>
    <row r="96">
      <c r="A96" s="154"/>
      <c r="B96" s="154"/>
      <c r="C96" s="155"/>
      <c r="D96" s="156"/>
      <c r="E96" s="155"/>
      <c r="F96" s="155"/>
      <c r="G96" s="155"/>
      <c r="H96" s="157"/>
      <c r="I96" s="154"/>
      <c r="J96" s="154"/>
      <c r="K96" s="154"/>
      <c r="L96" s="155"/>
      <c r="M96" s="156"/>
      <c r="N96" s="155"/>
      <c r="O96" s="155"/>
      <c r="P96" s="155"/>
      <c r="Q96" s="157"/>
      <c r="R96" s="154"/>
      <c r="S96" s="154"/>
    </row>
    <row r="97">
      <c r="A97" s="154"/>
      <c r="B97" s="154"/>
      <c r="C97" s="155"/>
      <c r="D97" s="156"/>
      <c r="E97" s="155"/>
      <c r="F97" s="155"/>
      <c r="G97" s="155"/>
      <c r="H97" s="157"/>
      <c r="I97" s="154"/>
      <c r="J97" s="154"/>
      <c r="K97" s="154"/>
      <c r="L97" s="155"/>
      <c r="M97" s="156"/>
      <c r="N97" s="155"/>
      <c r="O97" s="155"/>
      <c r="P97" s="155"/>
      <c r="Q97" s="157"/>
      <c r="R97" s="154"/>
      <c r="S97" s="154"/>
    </row>
    <row r="98">
      <c r="A98" s="154"/>
      <c r="B98" s="154"/>
      <c r="C98" s="155"/>
      <c r="D98" s="156"/>
      <c r="E98" s="155"/>
      <c r="F98" s="155"/>
      <c r="G98" s="155"/>
      <c r="H98" s="157"/>
      <c r="I98" s="154"/>
      <c r="J98" s="154"/>
      <c r="K98" s="154"/>
      <c r="L98" s="155"/>
      <c r="M98" s="156"/>
      <c r="N98" s="155"/>
      <c r="O98" s="155"/>
      <c r="P98" s="155"/>
      <c r="Q98" s="157"/>
      <c r="R98" s="154"/>
      <c r="S98" s="154"/>
    </row>
    <row r="99">
      <c r="A99" s="154"/>
      <c r="B99" s="154"/>
      <c r="C99" s="155"/>
      <c r="D99" s="156"/>
      <c r="E99" s="155"/>
      <c r="F99" s="155"/>
      <c r="G99" s="155"/>
      <c r="H99" s="157"/>
      <c r="I99" s="154"/>
      <c r="J99" s="154"/>
      <c r="K99" s="154"/>
      <c r="L99" s="155"/>
      <c r="M99" s="156"/>
      <c r="N99" s="155"/>
      <c r="O99" s="155"/>
      <c r="P99" s="155"/>
      <c r="Q99" s="157"/>
      <c r="R99" s="154"/>
      <c r="S99" s="154"/>
    </row>
    <row r="100">
      <c r="A100" s="154"/>
      <c r="B100" s="154"/>
      <c r="C100" s="155"/>
      <c r="D100" s="156"/>
      <c r="E100" s="155"/>
      <c r="F100" s="155"/>
      <c r="G100" s="155"/>
      <c r="H100" s="157"/>
      <c r="I100" s="154"/>
      <c r="J100" s="154"/>
      <c r="K100" s="154"/>
      <c r="L100" s="155"/>
      <c r="M100" s="156"/>
      <c r="N100" s="155"/>
      <c r="O100" s="155"/>
      <c r="P100" s="155"/>
      <c r="Q100" s="157"/>
      <c r="R100" s="154"/>
      <c r="S100" s="154"/>
    </row>
    <row r="101">
      <c r="A101" s="154"/>
      <c r="B101" s="154"/>
      <c r="C101" s="155"/>
      <c r="D101" s="156"/>
      <c r="E101" s="155"/>
      <c r="F101" s="155"/>
      <c r="G101" s="155"/>
      <c r="H101" s="157"/>
      <c r="I101" s="154"/>
      <c r="J101" s="154"/>
      <c r="K101" s="154"/>
      <c r="L101" s="155"/>
      <c r="M101" s="156"/>
      <c r="N101" s="155"/>
      <c r="O101" s="155"/>
      <c r="P101" s="155"/>
      <c r="Q101" s="157"/>
      <c r="R101" s="154"/>
      <c r="S101" s="154"/>
    </row>
    <row r="102">
      <c r="A102" s="154"/>
      <c r="B102" s="154"/>
      <c r="C102" s="155"/>
      <c r="D102" s="156"/>
      <c r="E102" s="155"/>
      <c r="F102" s="155"/>
      <c r="G102" s="155"/>
      <c r="H102" s="157"/>
      <c r="I102" s="154"/>
      <c r="J102" s="154"/>
      <c r="K102" s="154"/>
      <c r="L102" s="155"/>
      <c r="M102" s="156"/>
      <c r="N102" s="155"/>
      <c r="O102" s="155"/>
      <c r="P102" s="155"/>
      <c r="Q102" s="157"/>
      <c r="R102" s="154"/>
      <c r="S102" s="154"/>
    </row>
    <row r="103">
      <c r="A103" s="154"/>
      <c r="B103" s="154"/>
      <c r="C103" s="155"/>
      <c r="D103" s="156"/>
      <c r="E103" s="155"/>
      <c r="F103" s="155"/>
      <c r="G103" s="155"/>
      <c r="H103" s="157"/>
      <c r="I103" s="154"/>
      <c r="J103" s="154"/>
      <c r="K103" s="154"/>
      <c r="L103" s="155"/>
      <c r="M103" s="156"/>
      <c r="N103" s="155"/>
      <c r="O103" s="155"/>
      <c r="P103" s="155"/>
      <c r="Q103" s="157"/>
      <c r="R103" s="154"/>
      <c r="S103" s="154"/>
    </row>
    <row r="104">
      <c r="A104" s="154"/>
      <c r="B104" s="154"/>
      <c r="C104" s="155"/>
      <c r="D104" s="156"/>
      <c r="E104" s="155"/>
      <c r="F104" s="155"/>
      <c r="G104" s="155"/>
      <c r="H104" s="157"/>
      <c r="I104" s="154"/>
      <c r="J104" s="154"/>
      <c r="K104" s="154"/>
      <c r="L104" s="155"/>
      <c r="M104" s="156"/>
      <c r="N104" s="155"/>
      <c r="O104" s="155"/>
      <c r="P104" s="155"/>
      <c r="Q104" s="157"/>
      <c r="R104" s="154"/>
      <c r="S104" s="154"/>
    </row>
    <row r="105">
      <c r="A105" s="154"/>
      <c r="B105" s="154"/>
      <c r="C105" s="155"/>
      <c r="D105" s="156"/>
      <c r="E105" s="155"/>
      <c r="F105" s="155"/>
      <c r="G105" s="155"/>
      <c r="H105" s="157"/>
      <c r="I105" s="154"/>
      <c r="J105" s="154"/>
      <c r="K105" s="154"/>
      <c r="L105" s="155"/>
      <c r="M105" s="156"/>
      <c r="N105" s="155"/>
      <c r="O105" s="155"/>
      <c r="P105" s="155"/>
      <c r="Q105" s="157"/>
      <c r="R105" s="154"/>
      <c r="S105" s="154"/>
    </row>
    <row r="106">
      <c r="A106" s="154"/>
      <c r="B106" s="154"/>
      <c r="C106" s="155"/>
      <c r="D106" s="156"/>
      <c r="E106" s="155"/>
      <c r="F106" s="155"/>
      <c r="G106" s="155"/>
      <c r="H106" s="157"/>
      <c r="I106" s="154"/>
      <c r="J106" s="154"/>
      <c r="K106" s="154"/>
      <c r="L106" s="155"/>
      <c r="M106" s="156"/>
      <c r="N106" s="155"/>
      <c r="O106" s="155"/>
      <c r="P106" s="155"/>
      <c r="Q106" s="157"/>
      <c r="R106" s="154"/>
      <c r="S106" s="154"/>
    </row>
    <row r="107">
      <c r="A107" s="154"/>
      <c r="B107" s="154"/>
      <c r="C107" s="155"/>
      <c r="D107" s="156"/>
      <c r="E107" s="155"/>
      <c r="F107" s="155"/>
      <c r="G107" s="155"/>
      <c r="H107" s="157"/>
      <c r="I107" s="154"/>
      <c r="J107" s="154"/>
      <c r="K107" s="154"/>
      <c r="L107" s="155"/>
      <c r="M107" s="156"/>
      <c r="N107" s="155"/>
      <c r="O107" s="155"/>
      <c r="P107" s="155"/>
      <c r="Q107" s="157"/>
      <c r="R107" s="154"/>
      <c r="S107" s="154"/>
    </row>
    <row r="108">
      <c r="A108" s="154"/>
      <c r="B108" s="154"/>
      <c r="C108" s="155"/>
      <c r="D108" s="156"/>
      <c r="E108" s="155"/>
      <c r="F108" s="155"/>
      <c r="G108" s="155"/>
      <c r="H108" s="157"/>
      <c r="I108" s="154"/>
      <c r="J108" s="154"/>
      <c r="K108" s="154"/>
      <c r="L108" s="155"/>
      <c r="M108" s="156"/>
      <c r="N108" s="155"/>
      <c r="O108" s="155"/>
      <c r="P108" s="155"/>
      <c r="Q108" s="157"/>
      <c r="R108" s="154"/>
      <c r="S108" s="154"/>
    </row>
    <row r="109">
      <c r="A109" s="154"/>
      <c r="B109" s="154"/>
      <c r="C109" s="155"/>
      <c r="D109" s="156"/>
      <c r="E109" s="155"/>
      <c r="F109" s="155"/>
      <c r="G109" s="155"/>
      <c r="H109" s="157"/>
      <c r="I109" s="154"/>
      <c r="J109" s="154"/>
      <c r="K109" s="154"/>
      <c r="L109" s="155"/>
      <c r="M109" s="156"/>
      <c r="N109" s="155"/>
      <c r="O109" s="155"/>
      <c r="P109" s="155"/>
      <c r="Q109" s="157"/>
      <c r="R109" s="154"/>
      <c r="S109" s="154"/>
    </row>
    <row r="110">
      <c r="A110" s="154"/>
      <c r="B110" s="154"/>
      <c r="C110" s="155"/>
      <c r="D110" s="156"/>
      <c r="E110" s="155"/>
      <c r="F110" s="155"/>
      <c r="G110" s="155"/>
      <c r="H110" s="157"/>
      <c r="I110" s="154"/>
      <c r="J110" s="154"/>
      <c r="K110" s="154"/>
      <c r="L110" s="155"/>
      <c r="M110" s="156"/>
      <c r="N110" s="155"/>
      <c r="O110" s="155"/>
      <c r="P110" s="155"/>
      <c r="Q110" s="157"/>
      <c r="R110" s="154"/>
      <c r="S110" s="154"/>
    </row>
    <row r="111">
      <c r="A111" s="154"/>
      <c r="B111" s="154"/>
      <c r="C111" s="155"/>
      <c r="D111" s="156"/>
      <c r="E111" s="155"/>
      <c r="F111" s="155"/>
      <c r="G111" s="155"/>
      <c r="H111" s="157"/>
      <c r="I111" s="154"/>
      <c r="J111" s="154"/>
      <c r="K111" s="154"/>
      <c r="L111" s="155"/>
      <c r="M111" s="156"/>
      <c r="N111" s="155"/>
      <c r="O111" s="155"/>
      <c r="P111" s="155"/>
      <c r="Q111" s="157"/>
      <c r="R111" s="154"/>
      <c r="S111" s="154"/>
    </row>
    <row r="112">
      <c r="A112" s="154"/>
      <c r="B112" s="154"/>
      <c r="C112" s="155"/>
      <c r="D112" s="156"/>
      <c r="E112" s="155"/>
      <c r="F112" s="155"/>
      <c r="G112" s="155"/>
      <c r="H112" s="157"/>
      <c r="I112" s="154"/>
      <c r="J112" s="154"/>
      <c r="K112" s="154"/>
      <c r="L112" s="155"/>
      <c r="M112" s="156"/>
      <c r="N112" s="155"/>
      <c r="O112" s="155"/>
      <c r="P112" s="155"/>
      <c r="Q112" s="157"/>
      <c r="R112" s="154"/>
      <c r="S112" s="154"/>
    </row>
    <row r="113">
      <c r="A113" s="154"/>
      <c r="B113" s="154"/>
      <c r="C113" s="155"/>
      <c r="D113" s="156"/>
      <c r="E113" s="155"/>
      <c r="F113" s="155"/>
      <c r="G113" s="155"/>
      <c r="H113" s="157"/>
      <c r="I113" s="154"/>
      <c r="J113" s="154"/>
      <c r="K113" s="154"/>
      <c r="L113" s="155"/>
      <c r="M113" s="156"/>
      <c r="N113" s="155"/>
      <c r="O113" s="155"/>
      <c r="P113" s="155"/>
      <c r="Q113" s="157"/>
      <c r="R113" s="154"/>
      <c r="S113" s="154"/>
    </row>
    <row r="114">
      <c r="A114" s="154"/>
      <c r="B114" s="154"/>
      <c r="C114" s="155"/>
      <c r="D114" s="156"/>
      <c r="E114" s="155"/>
      <c r="F114" s="155"/>
      <c r="G114" s="155"/>
      <c r="H114" s="157"/>
      <c r="I114" s="154"/>
      <c r="J114" s="154"/>
      <c r="K114" s="154"/>
      <c r="L114" s="155"/>
      <c r="M114" s="156"/>
      <c r="N114" s="155"/>
      <c r="O114" s="155"/>
      <c r="P114" s="155"/>
      <c r="Q114" s="157"/>
      <c r="R114" s="154"/>
      <c r="S114" s="154"/>
    </row>
    <row r="115">
      <c r="A115" s="154"/>
      <c r="B115" s="154"/>
      <c r="C115" s="155"/>
      <c r="D115" s="156"/>
      <c r="E115" s="155"/>
      <c r="F115" s="155"/>
      <c r="G115" s="155"/>
      <c r="H115" s="157"/>
      <c r="I115" s="154"/>
      <c r="J115" s="154"/>
      <c r="K115" s="154"/>
      <c r="L115" s="155"/>
      <c r="M115" s="156"/>
      <c r="N115" s="155"/>
      <c r="O115" s="155"/>
      <c r="P115" s="155"/>
      <c r="Q115" s="157"/>
      <c r="R115" s="154"/>
      <c r="S115" s="154"/>
    </row>
    <row r="116">
      <c r="A116" s="154"/>
      <c r="B116" s="154"/>
      <c r="C116" s="155"/>
      <c r="D116" s="156"/>
      <c r="E116" s="155"/>
      <c r="F116" s="155"/>
      <c r="G116" s="155"/>
      <c r="H116" s="157"/>
      <c r="I116" s="154"/>
      <c r="J116" s="154"/>
      <c r="K116" s="154"/>
      <c r="L116" s="155"/>
      <c r="M116" s="156"/>
      <c r="N116" s="155"/>
      <c r="O116" s="155"/>
      <c r="P116" s="155"/>
      <c r="Q116" s="157"/>
      <c r="R116" s="154"/>
      <c r="S116" s="154"/>
    </row>
    <row r="117">
      <c r="A117" s="154"/>
      <c r="B117" s="154"/>
      <c r="C117" s="155"/>
      <c r="D117" s="156"/>
      <c r="E117" s="155"/>
      <c r="F117" s="155"/>
      <c r="G117" s="155"/>
      <c r="H117" s="157"/>
      <c r="I117" s="154"/>
      <c r="J117" s="154"/>
      <c r="K117" s="154"/>
      <c r="L117" s="155"/>
      <c r="M117" s="156"/>
      <c r="N117" s="155"/>
      <c r="O117" s="155"/>
      <c r="P117" s="155"/>
      <c r="Q117" s="157"/>
      <c r="R117" s="154"/>
      <c r="S117" s="154"/>
    </row>
    <row r="118">
      <c r="A118" s="154"/>
      <c r="B118" s="154"/>
      <c r="C118" s="155"/>
      <c r="D118" s="156"/>
      <c r="E118" s="155"/>
      <c r="F118" s="155"/>
      <c r="G118" s="155"/>
      <c r="H118" s="157"/>
      <c r="I118" s="154"/>
      <c r="J118" s="154"/>
      <c r="K118" s="154"/>
      <c r="L118" s="155"/>
      <c r="M118" s="156"/>
      <c r="N118" s="155"/>
      <c r="O118" s="155"/>
      <c r="P118" s="155"/>
      <c r="Q118" s="157"/>
      <c r="R118" s="154"/>
      <c r="S118" s="154"/>
    </row>
    <row r="119">
      <c r="A119" s="154"/>
      <c r="B119" s="154"/>
      <c r="C119" s="155"/>
      <c r="D119" s="156"/>
      <c r="E119" s="155"/>
      <c r="F119" s="155"/>
      <c r="G119" s="155"/>
      <c r="H119" s="157"/>
      <c r="I119" s="154"/>
      <c r="J119" s="154"/>
      <c r="K119" s="154"/>
      <c r="L119" s="155"/>
      <c r="M119" s="156"/>
      <c r="N119" s="155"/>
      <c r="O119" s="155"/>
      <c r="P119" s="155"/>
      <c r="Q119" s="157"/>
      <c r="R119" s="154"/>
      <c r="S119" s="154"/>
    </row>
    <row r="120">
      <c r="A120" s="154"/>
      <c r="B120" s="154"/>
      <c r="C120" s="155"/>
      <c r="D120" s="156"/>
      <c r="E120" s="155"/>
      <c r="F120" s="155"/>
      <c r="G120" s="155"/>
      <c r="H120" s="157"/>
      <c r="I120" s="154"/>
      <c r="J120" s="154"/>
      <c r="K120" s="154"/>
      <c r="L120" s="155"/>
      <c r="M120" s="156"/>
      <c r="N120" s="155"/>
      <c r="O120" s="155"/>
      <c r="P120" s="155"/>
      <c r="Q120" s="157"/>
      <c r="R120" s="154"/>
      <c r="S120" s="154"/>
    </row>
    <row r="121">
      <c r="A121" s="154"/>
      <c r="B121" s="154"/>
      <c r="C121" s="155"/>
      <c r="D121" s="156"/>
      <c r="E121" s="155"/>
      <c r="F121" s="155"/>
      <c r="G121" s="155"/>
      <c r="H121" s="157"/>
      <c r="I121" s="154"/>
      <c r="J121" s="154"/>
      <c r="K121" s="154"/>
      <c r="L121" s="155"/>
      <c r="M121" s="156"/>
      <c r="N121" s="155"/>
      <c r="O121" s="155"/>
      <c r="P121" s="155"/>
      <c r="Q121" s="157"/>
      <c r="R121" s="154"/>
      <c r="S121" s="154"/>
    </row>
    <row r="122">
      <c r="A122" s="154"/>
      <c r="B122" s="154"/>
      <c r="C122" s="155"/>
      <c r="D122" s="156"/>
      <c r="E122" s="155"/>
      <c r="F122" s="155"/>
      <c r="G122" s="155"/>
      <c r="H122" s="157"/>
      <c r="I122" s="154"/>
      <c r="J122" s="154"/>
      <c r="K122" s="154"/>
      <c r="L122" s="155"/>
      <c r="M122" s="156"/>
      <c r="N122" s="155"/>
      <c r="O122" s="155"/>
      <c r="P122" s="155"/>
      <c r="Q122" s="157"/>
      <c r="R122" s="154"/>
      <c r="S122" s="154"/>
    </row>
    <row r="123">
      <c r="A123" s="154"/>
      <c r="B123" s="154"/>
      <c r="C123" s="155"/>
      <c r="D123" s="156"/>
      <c r="E123" s="155"/>
      <c r="F123" s="155"/>
      <c r="G123" s="155"/>
      <c r="H123" s="157"/>
      <c r="I123" s="154"/>
      <c r="J123" s="154"/>
      <c r="K123" s="154"/>
      <c r="L123" s="155"/>
      <c r="M123" s="156"/>
      <c r="N123" s="155"/>
      <c r="O123" s="155"/>
      <c r="P123" s="155"/>
      <c r="Q123" s="157"/>
      <c r="R123" s="154"/>
      <c r="S123" s="154"/>
    </row>
    <row r="124">
      <c r="A124" s="154"/>
      <c r="B124" s="154"/>
      <c r="C124" s="155"/>
      <c r="D124" s="156"/>
      <c r="E124" s="155"/>
      <c r="F124" s="155"/>
      <c r="G124" s="155"/>
      <c r="H124" s="157"/>
      <c r="I124" s="154"/>
      <c r="J124" s="154"/>
      <c r="K124" s="154"/>
      <c r="L124" s="155"/>
      <c r="M124" s="156"/>
      <c r="N124" s="155"/>
      <c r="O124" s="155"/>
      <c r="P124" s="155"/>
      <c r="Q124" s="157"/>
      <c r="R124" s="154"/>
      <c r="S124" s="154"/>
    </row>
    <row r="125">
      <c r="A125" s="154"/>
      <c r="B125" s="154"/>
      <c r="C125" s="155"/>
      <c r="D125" s="156"/>
      <c r="E125" s="155"/>
      <c r="F125" s="155"/>
      <c r="G125" s="155"/>
      <c r="H125" s="157"/>
      <c r="I125" s="154"/>
      <c r="J125" s="154"/>
      <c r="K125" s="154"/>
      <c r="L125" s="155"/>
      <c r="M125" s="156"/>
      <c r="N125" s="155"/>
      <c r="O125" s="155"/>
      <c r="P125" s="155"/>
      <c r="Q125" s="157"/>
      <c r="R125" s="154"/>
      <c r="S125" s="154"/>
    </row>
    <row r="126">
      <c r="A126" s="154"/>
      <c r="B126" s="154"/>
      <c r="C126" s="155"/>
      <c r="D126" s="156"/>
      <c r="E126" s="155"/>
      <c r="F126" s="155"/>
      <c r="G126" s="155"/>
      <c r="H126" s="157"/>
      <c r="I126" s="154"/>
      <c r="J126" s="154"/>
      <c r="K126" s="154"/>
      <c r="L126" s="155"/>
      <c r="M126" s="156"/>
      <c r="N126" s="155"/>
      <c r="O126" s="155"/>
      <c r="P126" s="155"/>
      <c r="Q126" s="157"/>
      <c r="R126" s="154"/>
      <c r="S126" s="154"/>
    </row>
    <row r="127">
      <c r="A127" s="154"/>
      <c r="B127" s="154"/>
      <c r="C127" s="155"/>
      <c r="D127" s="156"/>
      <c r="E127" s="155"/>
      <c r="F127" s="155"/>
      <c r="G127" s="155"/>
      <c r="H127" s="157"/>
      <c r="I127" s="154"/>
      <c r="J127" s="154"/>
      <c r="K127" s="154"/>
      <c r="L127" s="155"/>
      <c r="M127" s="156"/>
      <c r="N127" s="155"/>
      <c r="O127" s="155"/>
      <c r="P127" s="155"/>
      <c r="Q127" s="157"/>
      <c r="R127" s="154"/>
      <c r="S127" s="154"/>
    </row>
    <row r="128">
      <c r="A128" s="154"/>
      <c r="B128" s="154"/>
      <c r="C128" s="155"/>
      <c r="D128" s="156"/>
      <c r="E128" s="155"/>
      <c r="F128" s="155"/>
      <c r="G128" s="155"/>
      <c r="H128" s="157"/>
      <c r="I128" s="154"/>
      <c r="J128" s="154"/>
      <c r="K128" s="154"/>
      <c r="L128" s="155"/>
      <c r="M128" s="156"/>
      <c r="N128" s="155"/>
      <c r="O128" s="155"/>
      <c r="P128" s="155"/>
      <c r="Q128" s="157"/>
      <c r="R128" s="154"/>
      <c r="S128" s="154"/>
    </row>
    <row r="129">
      <c r="A129" s="154"/>
      <c r="B129" s="154"/>
      <c r="C129" s="155"/>
      <c r="D129" s="156"/>
      <c r="E129" s="155"/>
      <c r="F129" s="155"/>
      <c r="G129" s="155"/>
      <c r="H129" s="157"/>
      <c r="I129" s="154"/>
      <c r="J129" s="154"/>
      <c r="K129" s="154"/>
      <c r="L129" s="155"/>
      <c r="M129" s="156"/>
      <c r="N129" s="155"/>
      <c r="O129" s="155"/>
      <c r="P129" s="155"/>
      <c r="Q129" s="157"/>
      <c r="R129" s="154"/>
      <c r="S129" s="154"/>
    </row>
    <row r="130">
      <c r="A130" s="154"/>
      <c r="B130" s="154"/>
      <c r="C130" s="155"/>
      <c r="D130" s="156"/>
      <c r="E130" s="155"/>
      <c r="F130" s="155"/>
      <c r="G130" s="155"/>
      <c r="H130" s="157"/>
      <c r="I130" s="154"/>
      <c r="J130" s="154"/>
      <c r="K130" s="154"/>
      <c r="L130" s="155"/>
      <c r="M130" s="156"/>
      <c r="N130" s="155"/>
      <c r="O130" s="155"/>
      <c r="P130" s="155"/>
      <c r="Q130" s="157"/>
      <c r="R130" s="154"/>
      <c r="S130" s="154"/>
    </row>
    <row r="131">
      <c r="A131" s="154"/>
      <c r="B131" s="154"/>
      <c r="C131" s="155"/>
      <c r="D131" s="156"/>
      <c r="E131" s="155"/>
      <c r="F131" s="155"/>
      <c r="G131" s="155"/>
      <c r="H131" s="157"/>
      <c r="I131" s="154"/>
      <c r="J131" s="154"/>
      <c r="K131" s="154"/>
      <c r="L131" s="155"/>
      <c r="M131" s="156"/>
      <c r="N131" s="155"/>
      <c r="O131" s="155"/>
      <c r="P131" s="155"/>
      <c r="Q131" s="157"/>
      <c r="R131" s="154"/>
      <c r="S131" s="154"/>
    </row>
    <row r="132">
      <c r="A132" s="154"/>
      <c r="B132" s="154"/>
      <c r="C132" s="155"/>
      <c r="D132" s="156"/>
      <c r="E132" s="155"/>
      <c r="F132" s="155"/>
      <c r="G132" s="155"/>
      <c r="H132" s="157"/>
      <c r="I132" s="154"/>
      <c r="J132" s="154"/>
      <c r="K132" s="154"/>
      <c r="L132" s="155"/>
      <c r="M132" s="156"/>
      <c r="N132" s="155"/>
      <c r="O132" s="155"/>
      <c r="P132" s="155"/>
      <c r="Q132" s="157"/>
      <c r="R132" s="154"/>
      <c r="S132" s="154"/>
    </row>
    <row r="133">
      <c r="A133" s="154"/>
      <c r="B133" s="154"/>
      <c r="C133" s="155"/>
      <c r="D133" s="156"/>
      <c r="E133" s="155"/>
      <c r="F133" s="155"/>
      <c r="G133" s="155"/>
      <c r="H133" s="157"/>
      <c r="I133" s="154"/>
      <c r="J133" s="154"/>
      <c r="K133" s="154"/>
      <c r="L133" s="155"/>
      <c r="M133" s="156"/>
      <c r="N133" s="155"/>
      <c r="O133" s="155"/>
      <c r="P133" s="155"/>
      <c r="Q133" s="157"/>
      <c r="R133" s="154"/>
      <c r="S133" s="154"/>
    </row>
    <row r="134">
      <c r="A134" s="154"/>
      <c r="B134" s="154"/>
      <c r="C134" s="155"/>
      <c r="D134" s="156"/>
      <c r="E134" s="155"/>
      <c r="F134" s="155"/>
      <c r="G134" s="155"/>
      <c r="H134" s="157"/>
      <c r="I134" s="154"/>
      <c r="J134" s="154"/>
      <c r="K134" s="154"/>
      <c r="L134" s="155"/>
      <c r="M134" s="156"/>
      <c r="N134" s="155"/>
      <c r="O134" s="155"/>
      <c r="P134" s="155"/>
      <c r="Q134" s="157"/>
      <c r="R134" s="154"/>
      <c r="S134" s="154"/>
    </row>
    <row r="135">
      <c r="A135" s="154"/>
      <c r="B135" s="154"/>
      <c r="C135" s="155"/>
      <c r="D135" s="156"/>
      <c r="E135" s="155"/>
      <c r="F135" s="155"/>
      <c r="G135" s="155"/>
      <c r="H135" s="157"/>
      <c r="I135" s="154"/>
      <c r="J135" s="154"/>
      <c r="K135" s="154"/>
      <c r="L135" s="155"/>
      <c r="M135" s="156"/>
      <c r="N135" s="155"/>
      <c r="O135" s="155"/>
      <c r="P135" s="155"/>
      <c r="Q135" s="157"/>
      <c r="R135" s="154"/>
      <c r="S135" s="154"/>
    </row>
    <row r="136">
      <c r="A136" s="154"/>
      <c r="B136" s="154"/>
      <c r="C136" s="155"/>
      <c r="D136" s="156"/>
      <c r="E136" s="155"/>
      <c r="F136" s="155"/>
      <c r="G136" s="155"/>
      <c r="H136" s="157"/>
      <c r="I136" s="154"/>
      <c r="J136" s="154"/>
      <c r="K136" s="154"/>
      <c r="L136" s="155"/>
      <c r="M136" s="156"/>
      <c r="N136" s="155"/>
      <c r="O136" s="155"/>
      <c r="P136" s="155"/>
      <c r="Q136" s="157"/>
      <c r="R136" s="154"/>
      <c r="S136" s="154"/>
    </row>
    <row r="137">
      <c r="A137" s="154"/>
      <c r="B137" s="154"/>
      <c r="C137" s="155"/>
      <c r="D137" s="156"/>
      <c r="E137" s="155"/>
      <c r="F137" s="155"/>
      <c r="G137" s="155"/>
      <c r="H137" s="157"/>
      <c r="I137" s="154"/>
      <c r="J137" s="154"/>
      <c r="K137" s="154"/>
      <c r="L137" s="155"/>
      <c r="M137" s="156"/>
      <c r="N137" s="155"/>
      <c r="O137" s="155"/>
      <c r="P137" s="155"/>
      <c r="Q137" s="157"/>
      <c r="R137" s="154"/>
      <c r="S137" s="154"/>
    </row>
    <row r="138">
      <c r="A138" s="154"/>
      <c r="B138" s="154"/>
      <c r="C138" s="155"/>
      <c r="D138" s="156"/>
      <c r="E138" s="155"/>
      <c r="F138" s="155"/>
      <c r="G138" s="155"/>
      <c r="H138" s="157"/>
      <c r="I138" s="154"/>
      <c r="J138" s="154"/>
      <c r="K138" s="154"/>
      <c r="L138" s="155"/>
      <c r="M138" s="156"/>
      <c r="N138" s="155"/>
      <c r="O138" s="155"/>
      <c r="P138" s="155"/>
      <c r="Q138" s="157"/>
      <c r="R138" s="154"/>
      <c r="S138" s="154"/>
    </row>
    <row r="139">
      <c r="A139" s="154"/>
      <c r="B139" s="154"/>
      <c r="C139" s="155"/>
      <c r="D139" s="156"/>
      <c r="E139" s="155"/>
      <c r="F139" s="155"/>
      <c r="G139" s="155"/>
      <c r="H139" s="157"/>
      <c r="I139" s="154"/>
      <c r="J139" s="154"/>
      <c r="K139" s="154"/>
      <c r="L139" s="155"/>
      <c r="M139" s="156"/>
      <c r="N139" s="155"/>
      <c r="O139" s="155"/>
      <c r="P139" s="155"/>
      <c r="Q139" s="157"/>
      <c r="R139" s="154"/>
      <c r="S139" s="154"/>
    </row>
    <row r="140">
      <c r="A140" s="154"/>
      <c r="B140" s="154"/>
      <c r="C140" s="155"/>
      <c r="D140" s="156"/>
      <c r="E140" s="155"/>
      <c r="F140" s="155"/>
      <c r="G140" s="155"/>
      <c r="H140" s="157"/>
      <c r="I140" s="154"/>
      <c r="J140" s="154"/>
      <c r="K140" s="154"/>
      <c r="L140" s="155"/>
      <c r="M140" s="156"/>
      <c r="N140" s="155"/>
      <c r="O140" s="155"/>
      <c r="P140" s="155"/>
      <c r="Q140" s="157"/>
      <c r="R140" s="154"/>
      <c r="S140" s="154"/>
    </row>
    <row r="141">
      <c r="A141" s="154"/>
      <c r="B141" s="154"/>
      <c r="C141" s="155"/>
      <c r="D141" s="156"/>
      <c r="E141" s="155"/>
      <c r="F141" s="155"/>
      <c r="G141" s="155"/>
      <c r="H141" s="157"/>
      <c r="I141" s="154"/>
      <c r="J141" s="154"/>
      <c r="K141" s="154"/>
      <c r="L141" s="155"/>
      <c r="M141" s="156"/>
      <c r="N141" s="155"/>
      <c r="O141" s="155"/>
      <c r="P141" s="155"/>
      <c r="Q141" s="157"/>
      <c r="R141" s="154"/>
      <c r="S141" s="154"/>
    </row>
    <row r="142">
      <c r="A142" s="154"/>
      <c r="B142" s="154"/>
      <c r="C142" s="155"/>
      <c r="D142" s="156"/>
      <c r="E142" s="155"/>
      <c r="F142" s="155"/>
      <c r="G142" s="155"/>
      <c r="H142" s="157"/>
      <c r="I142" s="154"/>
      <c r="J142" s="154"/>
      <c r="K142" s="154"/>
      <c r="L142" s="155"/>
      <c r="M142" s="156"/>
      <c r="N142" s="155"/>
      <c r="O142" s="155"/>
      <c r="P142" s="155"/>
      <c r="Q142" s="157"/>
      <c r="R142" s="154"/>
      <c r="S142" s="154"/>
    </row>
    <row r="143">
      <c r="A143" s="154"/>
      <c r="B143" s="154"/>
      <c r="C143" s="155"/>
      <c r="D143" s="156"/>
      <c r="E143" s="155"/>
      <c r="F143" s="155"/>
      <c r="G143" s="155"/>
      <c r="H143" s="157"/>
      <c r="I143" s="154"/>
      <c r="J143" s="154"/>
      <c r="K143" s="154"/>
      <c r="L143" s="155"/>
      <c r="M143" s="156"/>
      <c r="N143" s="155"/>
      <c r="O143" s="155"/>
      <c r="P143" s="155"/>
      <c r="Q143" s="157"/>
      <c r="R143" s="154"/>
      <c r="S143" s="154"/>
    </row>
    <row r="144">
      <c r="A144" s="154"/>
      <c r="B144" s="154"/>
      <c r="C144" s="155"/>
      <c r="D144" s="156"/>
      <c r="E144" s="155"/>
      <c r="F144" s="155"/>
      <c r="G144" s="155"/>
      <c r="H144" s="157"/>
      <c r="I144" s="154"/>
      <c r="J144" s="154"/>
      <c r="K144" s="154"/>
      <c r="L144" s="155"/>
      <c r="M144" s="156"/>
      <c r="N144" s="155"/>
      <c r="O144" s="155"/>
      <c r="P144" s="155"/>
      <c r="Q144" s="157"/>
      <c r="R144" s="154"/>
      <c r="S144" s="154"/>
    </row>
    <row r="145">
      <c r="A145" s="154"/>
      <c r="B145" s="154"/>
      <c r="C145" s="155"/>
      <c r="D145" s="156"/>
      <c r="E145" s="155"/>
      <c r="F145" s="155"/>
      <c r="G145" s="155"/>
      <c r="H145" s="157"/>
      <c r="I145" s="154"/>
      <c r="J145" s="154"/>
      <c r="K145" s="154"/>
      <c r="L145" s="155"/>
      <c r="M145" s="156"/>
      <c r="N145" s="155"/>
      <c r="O145" s="155"/>
      <c r="P145" s="155"/>
      <c r="Q145" s="157"/>
      <c r="R145" s="154"/>
      <c r="S145" s="154"/>
    </row>
    <row r="146">
      <c r="A146" s="154"/>
      <c r="B146" s="154"/>
      <c r="C146" s="155"/>
      <c r="D146" s="156"/>
      <c r="E146" s="155"/>
      <c r="F146" s="155"/>
      <c r="G146" s="155"/>
      <c r="H146" s="157"/>
      <c r="I146" s="154"/>
      <c r="J146" s="154"/>
      <c r="K146" s="154"/>
      <c r="L146" s="155"/>
      <c r="M146" s="156"/>
      <c r="N146" s="155"/>
      <c r="O146" s="155"/>
      <c r="P146" s="155"/>
      <c r="Q146" s="157"/>
      <c r="R146" s="154"/>
      <c r="S146" s="154"/>
    </row>
    <row r="147">
      <c r="A147" s="154"/>
      <c r="B147" s="154"/>
      <c r="C147" s="155"/>
      <c r="D147" s="156"/>
      <c r="E147" s="155"/>
      <c r="F147" s="155"/>
      <c r="G147" s="155"/>
      <c r="H147" s="157"/>
      <c r="I147" s="154"/>
      <c r="J147" s="154"/>
      <c r="K147" s="154"/>
      <c r="L147" s="155"/>
      <c r="M147" s="156"/>
      <c r="N147" s="155"/>
      <c r="O147" s="155"/>
      <c r="P147" s="155"/>
      <c r="Q147" s="157"/>
      <c r="R147" s="154"/>
      <c r="S147" s="154"/>
    </row>
    <row r="148">
      <c r="A148" s="154"/>
      <c r="B148" s="154"/>
      <c r="C148" s="155"/>
      <c r="D148" s="156"/>
      <c r="E148" s="155"/>
      <c r="F148" s="155"/>
      <c r="G148" s="155"/>
      <c r="H148" s="157"/>
      <c r="I148" s="154"/>
      <c r="J148" s="154"/>
      <c r="K148" s="154"/>
      <c r="L148" s="155"/>
      <c r="M148" s="156"/>
      <c r="N148" s="155"/>
      <c r="O148" s="155"/>
      <c r="P148" s="155"/>
      <c r="Q148" s="157"/>
      <c r="R148" s="154"/>
      <c r="S148" s="154"/>
    </row>
    <row r="149">
      <c r="A149" s="154"/>
      <c r="B149" s="154"/>
      <c r="C149" s="155"/>
      <c r="D149" s="156"/>
      <c r="E149" s="155"/>
      <c r="F149" s="155"/>
      <c r="G149" s="155"/>
      <c r="H149" s="157"/>
      <c r="I149" s="154"/>
      <c r="J149" s="154"/>
      <c r="K149" s="154"/>
      <c r="L149" s="155"/>
      <c r="M149" s="156"/>
      <c r="N149" s="155"/>
      <c r="O149" s="155"/>
      <c r="P149" s="155"/>
      <c r="Q149" s="157"/>
      <c r="R149" s="154"/>
      <c r="S149" s="154"/>
    </row>
    <row r="150">
      <c r="A150" s="154"/>
      <c r="B150" s="154"/>
      <c r="C150" s="155"/>
      <c r="D150" s="156"/>
      <c r="E150" s="155"/>
      <c r="F150" s="155"/>
      <c r="G150" s="155"/>
      <c r="H150" s="157"/>
      <c r="I150" s="154"/>
      <c r="J150" s="154"/>
      <c r="K150" s="154"/>
      <c r="L150" s="155"/>
      <c r="M150" s="156"/>
      <c r="N150" s="155"/>
      <c r="O150" s="155"/>
      <c r="P150" s="155"/>
      <c r="Q150" s="157"/>
      <c r="R150" s="154"/>
      <c r="S150" s="154"/>
    </row>
    <row r="151">
      <c r="A151" s="154"/>
      <c r="B151" s="154"/>
      <c r="C151" s="155"/>
      <c r="D151" s="156"/>
      <c r="E151" s="155"/>
      <c r="F151" s="155"/>
      <c r="G151" s="155"/>
      <c r="H151" s="157"/>
      <c r="I151" s="154"/>
      <c r="J151" s="154"/>
      <c r="K151" s="154"/>
      <c r="L151" s="155"/>
      <c r="M151" s="156"/>
      <c r="N151" s="155"/>
      <c r="O151" s="155"/>
      <c r="P151" s="155"/>
      <c r="Q151" s="157"/>
      <c r="R151" s="154"/>
      <c r="S151" s="154"/>
    </row>
    <row r="152">
      <c r="A152" s="154"/>
      <c r="B152" s="154"/>
      <c r="C152" s="155"/>
      <c r="D152" s="156"/>
      <c r="E152" s="155"/>
      <c r="F152" s="155"/>
      <c r="G152" s="155"/>
      <c r="H152" s="157"/>
      <c r="I152" s="154"/>
      <c r="J152" s="154"/>
      <c r="K152" s="154"/>
      <c r="L152" s="155"/>
      <c r="M152" s="156"/>
      <c r="N152" s="155"/>
      <c r="O152" s="155"/>
      <c r="P152" s="155"/>
      <c r="Q152" s="157"/>
      <c r="R152" s="154"/>
      <c r="S152" s="154"/>
    </row>
    <row r="153">
      <c r="A153" s="154"/>
      <c r="B153" s="154"/>
      <c r="C153" s="155"/>
      <c r="D153" s="156"/>
      <c r="E153" s="155"/>
      <c r="F153" s="155"/>
      <c r="G153" s="155"/>
      <c r="H153" s="157"/>
      <c r="I153" s="154"/>
      <c r="J153" s="154"/>
      <c r="K153" s="154"/>
      <c r="L153" s="155"/>
      <c r="M153" s="156"/>
      <c r="N153" s="155"/>
      <c r="O153" s="155"/>
      <c r="P153" s="155"/>
      <c r="Q153" s="157"/>
      <c r="R153" s="154"/>
      <c r="S153" s="154"/>
    </row>
    <row r="154">
      <c r="A154" s="154"/>
      <c r="B154" s="154"/>
      <c r="C154" s="155"/>
      <c r="D154" s="156"/>
      <c r="E154" s="155"/>
      <c r="F154" s="155"/>
      <c r="G154" s="155"/>
      <c r="H154" s="157"/>
      <c r="I154" s="154"/>
      <c r="J154" s="154"/>
      <c r="K154" s="154"/>
      <c r="L154" s="155"/>
      <c r="M154" s="156"/>
      <c r="N154" s="155"/>
      <c r="O154" s="155"/>
      <c r="P154" s="155"/>
      <c r="Q154" s="157"/>
      <c r="R154" s="154"/>
      <c r="S154" s="154"/>
    </row>
    <row r="155">
      <c r="A155" s="154"/>
      <c r="B155" s="154"/>
      <c r="C155" s="155"/>
      <c r="D155" s="156"/>
      <c r="E155" s="155"/>
      <c r="F155" s="155"/>
      <c r="G155" s="155"/>
      <c r="H155" s="157"/>
      <c r="I155" s="154"/>
      <c r="J155" s="154"/>
      <c r="K155" s="154"/>
      <c r="L155" s="155"/>
      <c r="M155" s="156"/>
      <c r="N155" s="155"/>
      <c r="O155" s="155"/>
      <c r="P155" s="155"/>
      <c r="Q155" s="157"/>
      <c r="R155" s="154"/>
      <c r="S155" s="154"/>
    </row>
    <row r="156">
      <c r="A156" s="154"/>
      <c r="B156" s="154"/>
      <c r="C156" s="155"/>
      <c r="D156" s="156"/>
      <c r="E156" s="155"/>
      <c r="F156" s="155"/>
      <c r="G156" s="155"/>
      <c r="H156" s="157"/>
      <c r="I156" s="154"/>
      <c r="J156" s="154"/>
      <c r="K156" s="154"/>
      <c r="L156" s="155"/>
      <c r="M156" s="156"/>
      <c r="N156" s="155"/>
      <c r="O156" s="155"/>
      <c r="P156" s="155"/>
      <c r="Q156" s="157"/>
      <c r="R156" s="154"/>
      <c r="S156" s="154"/>
    </row>
    <row r="157">
      <c r="A157" s="154"/>
      <c r="B157" s="154"/>
      <c r="C157" s="155"/>
      <c r="D157" s="156"/>
      <c r="E157" s="155"/>
      <c r="F157" s="155"/>
      <c r="G157" s="155"/>
      <c r="H157" s="157"/>
      <c r="I157" s="154"/>
      <c r="J157" s="154"/>
      <c r="K157" s="154"/>
      <c r="L157" s="155"/>
      <c r="M157" s="156"/>
      <c r="N157" s="155"/>
      <c r="O157" s="155"/>
      <c r="P157" s="155"/>
      <c r="Q157" s="157"/>
      <c r="R157" s="154"/>
      <c r="S157" s="154"/>
    </row>
    <row r="158">
      <c r="A158" s="154"/>
      <c r="B158" s="154"/>
      <c r="C158" s="155"/>
      <c r="D158" s="156"/>
      <c r="E158" s="155"/>
      <c r="F158" s="155"/>
      <c r="G158" s="155"/>
      <c r="H158" s="157"/>
      <c r="I158" s="154"/>
      <c r="J158" s="154"/>
      <c r="K158" s="154"/>
      <c r="L158" s="155"/>
      <c r="M158" s="156"/>
      <c r="N158" s="155"/>
      <c r="O158" s="155"/>
      <c r="P158" s="155"/>
      <c r="Q158" s="157"/>
      <c r="R158" s="154"/>
      <c r="S158" s="154"/>
    </row>
    <row r="159">
      <c r="A159" s="154"/>
      <c r="B159" s="154"/>
      <c r="C159" s="155"/>
      <c r="D159" s="156"/>
      <c r="E159" s="155"/>
      <c r="F159" s="155"/>
      <c r="G159" s="155"/>
      <c r="H159" s="157"/>
      <c r="I159" s="154"/>
      <c r="J159" s="154"/>
      <c r="K159" s="154"/>
      <c r="L159" s="155"/>
      <c r="M159" s="156"/>
      <c r="N159" s="155"/>
      <c r="O159" s="155"/>
      <c r="P159" s="155"/>
      <c r="Q159" s="157"/>
      <c r="R159" s="154"/>
      <c r="S159" s="154"/>
    </row>
    <row r="160">
      <c r="A160" s="154"/>
      <c r="B160" s="154"/>
      <c r="C160" s="155"/>
      <c r="D160" s="156"/>
      <c r="E160" s="155"/>
      <c r="F160" s="155"/>
      <c r="G160" s="155"/>
      <c r="H160" s="157"/>
      <c r="I160" s="154"/>
      <c r="J160" s="154"/>
      <c r="K160" s="154"/>
      <c r="L160" s="155"/>
      <c r="M160" s="156"/>
      <c r="N160" s="155"/>
      <c r="O160" s="155"/>
      <c r="P160" s="155"/>
      <c r="Q160" s="157"/>
      <c r="R160" s="154"/>
      <c r="S160" s="154"/>
    </row>
    <row r="161">
      <c r="A161" s="154"/>
      <c r="B161" s="154"/>
      <c r="C161" s="155"/>
      <c r="D161" s="156"/>
      <c r="E161" s="155"/>
      <c r="F161" s="155"/>
      <c r="G161" s="155"/>
      <c r="H161" s="157"/>
      <c r="I161" s="154"/>
      <c r="J161" s="154"/>
      <c r="K161" s="154"/>
      <c r="L161" s="155"/>
      <c r="M161" s="156"/>
      <c r="N161" s="155"/>
      <c r="O161" s="155"/>
      <c r="P161" s="155"/>
      <c r="Q161" s="157"/>
      <c r="R161" s="154"/>
      <c r="S161" s="154"/>
    </row>
    <row r="162">
      <c r="A162" s="154"/>
      <c r="B162" s="154"/>
      <c r="C162" s="155"/>
      <c r="D162" s="156"/>
      <c r="E162" s="155"/>
      <c r="F162" s="155"/>
      <c r="G162" s="155"/>
      <c r="H162" s="157"/>
      <c r="I162" s="154"/>
      <c r="J162" s="154"/>
      <c r="K162" s="154"/>
      <c r="L162" s="155"/>
      <c r="M162" s="156"/>
      <c r="N162" s="155"/>
      <c r="O162" s="155"/>
      <c r="P162" s="155"/>
      <c r="Q162" s="157"/>
      <c r="R162" s="154"/>
      <c r="S162" s="154"/>
    </row>
    <row r="163">
      <c r="A163" s="154"/>
      <c r="B163" s="154"/>
      <c r="C163" s="155"/>
      <c r="D163" s="156"/>
      <c r="E163" s="155"/>
      <c r="F163" s="155"/>
      <c r="G163" s="155"/>
      <c r="H163" s="157"/>
      <c r="I163" s="154"/>
      <c r="J163" s="154"/>
      <c r="K163" s="154"/>
      <c r="L163" s="155"/>
      <c r="M163" s="156"/>
      <c r="N163" s="155"/>
      <c r="O163" s="155"/>
      <c r="P163" s="155"/>
      <c r="Q163" s="157"/>
      <c r="R163" s="154"/>
      <c r="S163" s="154"/>
    </row>
    <row r="164">
      <c r="A164" s="154"/>
      <c r="B164" s="154"/>
      <c r="C164" s="155"/>
      <c r="D164" s="156"/>
      <c r="E164" s="155"/>
      <c r="F164" s="155"/>
      <c r="G164" s="155"/>
      <c r="H164" s="157"/>
      <c r="I164" s="154"/>
      <c r="J164" s="154"/>
      <c r="K164" s="154"/>
      <c r="L164" s="155"/>
      <c r="M164" s="156"/>
      <c r="N164" s="155"/>
      <c r="O164" s="155"/>
      <c r="P164" s="155"/>
      <c r="Q164" s="157"/>
      <c r="R164" s="154"/>
      <c r="S164" s="154"/>
    </row>
    <row r="165">
      <c r="A165" s="154"/>
      <c r="B165" s="154"/>
      <c r="C165" s="155"/>
      <c r="D165" s="156"/>
      <c r="E165" s="155"/>
      <c r="F165" s="155"/>
      <c r="G165" s="155"/>
      <c r="H165" s="157"/>
      <c r="I165" s="154"/>
      <c r="J165" s="154"/>
      <c r="K165" s="154"/>
      <c r="L165" s="155"/>
      <c r="M165" s="156"/>
      <c r="N165" s="155"/>
      <c r="O165" s="155"/>
      <c r="P165" s="155"/>
      <c r="Q165" s="157"/>
      <c r="R165" s="154"/>
      <c r="S165" s="154"/>
    </row>
    <row r="166">
      <c r="A166" s="154"/>
      <c r="B166" s="154"/>
      <c r="C166" s="155"/>
      <c r="D166" s="156"/>
      <c r="E166" s="155"/>
      <c r="F166" s="155"/>
      <c r="G166" s="155"/>
      <c r="H166" s="157"/>
      <c r="I166" s="154"/>
      <c r="J166" s="154"/>
      <c r="K166" s="154"/>
      <c r="L166" s="155"/>
      <c r="M166" s="156"/>
      <c r="N166" s="155"/>
      <c r="O166" s="155"/>
      <c r="P166" s="155"/>
      <c r="Q166" s="157"/>
      <c r="R166" s="154"/>
      <c r="S166" s="154"/>
    </row>
    <row r="167">
      <c r="A167" s="154"/>
      <c r="B167" s="154"/>
      <c r="C167" s="155"/>
      <c r="D167" s="156"/>
      <c r="E167" s="155"/>
      <c r="F167" s="155"/>
      <c r="G167" s="155"/>
      <c r="H167" s="157"/>
      <c r="I167" s="154"/>
      <c r="J167" s="154"/>
      <c r="K167" s="154"/>
      <c r="L167" s="155"/>
      <c r="M167" s="156"/>
      <c r="N167" s="155"/>
      <c r="O167" s="155"/>
      <c r="P167" s="155"/>
      <c r="Q167" s="157"/>
      <c r="R167" s="154"/>
      <c r="S167" s="154"/>
    </row>
    <row r="168">
      <c r="A168" s="154"/>
      <c r="B168" s="154"/>
      <c r="C168" s="155"/>
      <c r="D168" s="156"/>
      <c r="E168" s="155"/>
      <c r="F168" s="155"/>
      <c r="G168" s="155"/>
      <c r="H168" s="157"/>
      <c r="I168" s="154"/>
      <c r="J168" s="154"/>
      <c r="K168" s="154"/>
      <c r="L168" s="155"/>
      <c r="M168" s="156"/>
      <c r="N168" s="155"/>
      <c r="O168" s="155"/>
      <c r="P168" s="155"/>
      <c r="Q168" s="157"/>
      <c r="R168" s="154"/>
      <c r="S168" s="154"/>
    </row>
    <row r="169">
      <c r="A169" s="154"/>
      <c r="B169" s="154"/>
      <c r="C169" s="155"/>
      <c r="D169" s="156"/>
      <c r="E169" s="155"/>
      <c r="F169" s="155"/>
      <c r="G169" s="155"/>
      <c r="H169" s="157"/>
      <c r="I169" s="154"/>
      <c r="J169" s="154"/>
      <c r="K169" s="154"/>
      <c r="L169" s="155"/>
      <c r="M169" s="156"/>
      <c r="N169" s="155"/>
      <c r="O169" s="155"/>
      <c r="P169" s="155"/>
      <c r="Q169" s="157"/>
      <c r="R169" s="154"/>
      <c r="S169" s="154"/>
    </row>
    <row r="170">
      <c r="A170" s="154"/>
      <c r="B170" s="154"/>
      <c r="C170" s="155"/>
      <c r="D170" s="156"/>
      <c r="E170" s="155"/>
      <c r="F170" s="155"/>
      <c r="G170" s="155"/>
      <c r="H170" s="157"/>
      <c r="I170" s="154"/>
      <c r="J170" s="154"/>
      <c r="K170" s="154"/>
      <c r="L170" s="155"/>
      <c r="M170" s="156"/>
      <c r="N170" s="155"/>
      <c r="O170" s="155"/>
      <c r="P170" s="155"/>
      <c r="Q170" s="157"/>
      <c r="R170" s="154"/>
      <c r="S170" s="154"/>
    </row>
    <row r="171">
      <c r="A171" s="154"/>
      <c r="B171" s="154"/>
      <c r="C171" s="155"/>
      <c r="D171" s="156"/>
      <c r="E171" s="155"/>
      <c r="F171" s="155"/>
      <c r="G171" s="155"/>
      <c r="H171" s="157"/>
      <c r="I171" s="154"/>
      <c r="J171" s="154"/>
      <c r="K171" s="154"/>
      <c r="L171" s="155"/>
      <c r="M171" s="156"/>
      <c r="N171" s="155"/>
      <c r="O171" s="155"/>
      <c r="P171" s="155"/>
      <c r="Q171" s="157"/>
      <c r="R171" s="154"/>
      <c r="S171" s="154"/>
    </row>
    <row r="172">
      <c r="A172" s="154"/>
      <c r="B172" s="154"/>
      <c r="C172" s="155"/>
      <c r="D172" s="156"/>
      <c r="E172" s="155"/>
      <c r="F172" s="155"/>
      <c r="G172" s="155"/>
      <c r="H172" s="157"/>
      <c r="I172" s="154"/>
      <c r="J172" s="154"/>
      <c r="K172" s="154"/>
      <c r="L172" s="155"/>
      <c r="M172" s="156"/>
      <c r="N172" s="155"/>
      <c r="O172" s="155"/>
      <c r="P172" s="155"/>
      <c r="Q172" s="157"/>
      <c r="R172" s="154"/>
      <c r="S172" s="154"/>
    </row>
    <row r="173">
      <c r="A173" s="154"/>
      <c r="B173" s="154"/>
      <c r="C173" s="155"/>
      <c r="D173" s="156"/>
      <c r="E173" s="155"/>
      <c r="F173" s="155"/>
      <c r="G173" s="155"/>
      <c r="H173" s="157"/>
      <c r="I173" s="154"/>
      <c r="J173" s="154"/>
      <c r="K173" s="154"/>
      <c r="L173" s="155"/>
      <c r="M173" s="156"/>
      <c r="N173" s="155"/>
      <c r="O173" s="155"/>
      <c r="P173" s="155"/>
      <c r="Q173" s="157"/>
      <c r="R173" s="154"/>
      <c r="S173" s="154"/>
    </row>
    <row r="174">
      <c r="A174" s="154"/>
      <c r="B174" s="154"/>
      <c r="C174" s="155"/>
      <c r="D174" s="156"/>
      <c r="E174" s="155"/>
      <c r="F174" s="155"/>
      <c r="G174" s="155"/>
      <c r="H174" s="157"/>
      <c r="I174" s="154"/>
      <c r="J174" s="154"/>
      <c r="K174" s="154"/>
      <c r="L174" s="155"/>
      <c r="M174" s="156"/>
      <c r="N174" s="155"/>
      <c r="O174" s="155"/>
      <c r="P174" s="155"/>
      <c r="Q174" s="157"/>
      <c r="R174" s="154"/>
      <c r="S174" s="154"/>
    </row>
    <row r="175">
      <c r="A175" s="154"/>
      <c r="B175" s="154"/>
      <c r="C175" s="155"/>
      <c r="D175" s="156"/>
      <c r="E175" s="155"/>
      <c r="F175" s="155"/>
      <c r="G175" s="155"/>
      <c r="H175" s="157"/>
      <c r="I175" s="154"/>
      <c r="J175" s="154"/>
      <c r="K175" s="154"/>
      <c r="L175" s="155"/>
      <c r="M175" s="156"/>
      <c r="N175" s="155"/>
      <c r="O175" s="155"/>
      <c r="P175" s="155"/>
      <c r="Q175" s="157"/>
      <c r="R175" s="154"/>
      <c r="S175" s="154"/>
    </row>
    <row r="176">
      <c r="A176" s="154"/>
      <c r="B176" s="154"/>
      <c r="C176" s="155"/>
      <c r="D176" s="156"/>
      <c r="E176" s="155"/>
      <c r="F176" s="155"/>
      <c r="G176" s="155"/>
      <c r="H176" s="157"/>
      <c r="I176" s="154"/>
      <c r="J176" s="154"/>
      <c r="K176" s="154"/>
      <c r="L176" s="155"/>
      <c r="M176" s="156"/>
      <c r="N176" s="155"/>
      <c r="O176" s="155"/>
      <c r="P176" s="155"/>
      <c r="Q176" s="157"/>
      <c r="R176" s="154"/>
      <c r="S176" s="154"/>
    </row>
    <row r="177">
      <c r="A177" s="154"/>
      <c r="B177" s="154"/>
      <c r="C177" s="155"/>
      <c r="D177" s="156"/>
      <c r="E177" s="155"/>
      <c r="F177" s="155"/>
      <c r="G177" s="155"/>
      <c r="H177" s="157"/>
      <c r="I177" s="154"/>
      <c r="J177" s="154"/>
      <c r="K177" s="154"/>
      <c r="L177" s="155"/>
      <c r="M177" s="156"/>
      <c r="N177" s="155"/>
      <c r="O177" s="155"/>
      <c r="P177" s="155"/>
      <c r="Q177" s="157"/>
      <c r="R177" s="154"/>
      <c r="S177" s="154"/>
    </row>
    <row r="178">
      <c r="A178" s="154"/>
      <c r="B178" s="154"/>
      <c r="C178" s="155"/>
      <c r="D178" s="156"/>
      <c r="E178" s="155"/>
      <c r="F178" s="155"/>
      <c r="G178" s="155"/>
      <c r="H178" s="157"/>
      <c r="I178" s="154"/>
      <c r="J178" s="154"/>
      <c r="K178" s="154"/>
      <c r="L178" s="155"/>
      <c r="M178" s="156"/>
      <c r="N178" s="155"/>
      <c r="O178" s="155"/>
      <c r="P178" s="155"/>
      <c r="Q178" s="157"/>
      <c r="R178" s="154"/>
      <c r="S178" s="154"/>
    </row>
    <row r="179">
      <c r="A179" s="154"/>
      <c r="B179" s="154"/>
      <c r="C179" s="155"/>
      <c r="D179" s="156"/>
      <c r="E179" s="155"/>
      <c r="F179" s="155"/>
      <c r="G179" s="155"/>
      <c r="H179" s="157"/>
      <c r="I179" s="154"/>
      <c r="J179" s="154"/>
      <c r="K179" s="154"/>
      <c r="L179" s="155"/>
      <c r="M179" s="156"/>
      <c r="N179" s="155"/>
      <c r="O179" s="155"/>
      <c r="P179" s="155"/>
      <c r="Q179" s="157"/>
      <c r="R179" s="154"/>
      <c r="S179" s="154"/>
    </row>
    <row r="180">
      <c r="A180" s="154"/>
      <c r="B180" s="154"/>
      <c r="C180" s="155"/>
      <c r="D180" s="156"/>
      <c r="E180" s="155"/>
      <c r="F180" s="155"/>
      <c r="G180" s="155"/>
      <c r="H180" s="157"/>
      <c r="I180" s="154"/>
      <c r="J180" s="154"/>
      <c r="K180" s="154"/>
      <c r="L180" s="155"/>
      <c r="M180" s="156"/>
      <c r="N180" s="155"/>
      <c r="O180" s="155"/>
      <c r="P180" s="155"/>
      <c r="Q180" s="157"/>
      <c r="R180" s="154"/>
      <c r="S180" s="154"/>
    </row>
    <row r="181">
      <c r="A181" s="154"/>
      <c r="B181" s="154"/>
      <c r="C181" s="155"/>
      <c r="D181" s="156"/>
      <c r="E181" s="155"/>
      <c r="F181" s="155"/>
      <c r="G181" s="155"/>
      <c r="H181" s="157"/>
      <c r="I181" s="154"/>
      <c r="J181" s="154"/>
      <c r="K181" s="154"/>
      <c r="L181" s="155"/>
      <c r="M181" s="156"/>
      <c r="N181" s="155"/>
      <c r="O181" s="155"/>
      <c r="P181" s="155"/>
      <c r="Q181" s="157"/>
      <c r="R181" s="154"/>
      <c r="S181" s="154"/>
    </row>
    <row r="182">
      <c r="A182" s="154"/>
      <c r="B182" s="154"/>
      <c r="C182" s="155"/>
      <c r="D182" s="156"/>
      <c r="E182" s="155"/>
      <c r="F182" s="155"/>
      <c r="G182" s="155"/>
      <c r="H182" s="157"/>
      <c r="I182" s="154"/>
      <c r="J182" s="154"/>
      <c r="K182" s="154"/>
      <c r="L182" s="155"/>
      <c r="M182" s="156"/>
      <c r="N182" s="155"/>
      <c r="O182" s="155"/>
      <c r="P182" s="155"/>
      <c r="Q182" s="157"/>
      <c r="R182" s="154"/>
      <c r="S182" s="154"/>
    </row>
    <row r="183">
      <c r="A183" s="154"/>
      <c r="B183" s="154"/>
      <c r="C183" s="155"/>
      <c r="D183" s="156"/>
      <c r="E183" s="155"/>
      <c r="F183" s="155"/>
      <c r="G183" s="155"/>
      <c r="H183" s="157"/>
      <c r="I183" s="154"/>
      <c r="J183" s="154"/>
      <c r="K183" s="154"/>
      <c r="L183" s="155"/>
      <c r="M183" s="156"/>
      <c r="N183" s="155"/>
      <c r="O183" s="155"/>
      <c r="P183" s="155"/>
      <c r="Q183" s="157"/>
      <c r="R183" s="154"/>
      <c r="S183" s="154"/>
    </row>
    <row r="184">
      <c r="A184" s="154"/>
      <c r="B184" s="154"/>
      <c r="C184" s="155"/>
      <c r="D184" s="156"/>
      <c r="E184" s="155"/>
      <c r="F184" s="155"/>
      <c r="G184" s="155"/>
      <c r="H184" s="157"/>
      <c r="I184" s="154"/>
      <c r="J184" s="154"/>
      <c r="K184" s="154"/>
      <c r="L184" s="155"/>
      <c r="M184" s="156"/>
      <c r="N184" s="155"/>
      <c r="O184" s="155"/>
      <c r="P184" s="155"/>
      <c r="Q184" s="157"/>
      <c r="R184" s="154"/>
      <c r="S184" s="154"/>
    </row>
    <row r="185">
      <c r="A185" s="154"/>
      <c r="B185" s="154"/>
      <c r="C185" s="155"/>
      <c r="D185" s="156"/>
      <c r="E185" s="155"/>
      <c r="F185" s="155"/>
      <c r="G185" s="155"/>
      <c r="H185" s="157"/>
      <c r="I185" s="154"/>
      <c r="J185" s="154"/>
      <c r="K185" s="154"/>
      <c r="L185" s="155"/>
      <c r="M185" s="156"/>
      <c r="N185" s="155"/>
      <c r="O185" s="155"/>
      <c r="P185" s="155"/>
      <c r="Q185" s="157"/>
      <c r="R185" s="154"/>
      <c r="S185" s="154"/>
    </row>
    <row r="186">
      <c r="A186" s="154"/>
      <c r="B186" s="154"/>
      <c r="C186" s="155"/>
      <c r="D186" s="156"/>
      <c r="E186" s="155"/>
      <c r="F186" s="155"/>
      <c r="G186" s="155"/>
      <c r="H186" s="157"/>
      <c r="I186" s="154"/>
      <c r="J186" s="154"/>
      <c r="K186" s="154"/>
      <c r="L186" s="155"/>
      <c r="M186" s="156"/>
      <c r="N186" s="155"/>
      <c r="O186" s="155"/>
      <c r="P186" s="155"/>
      <c r="Q186" s="157"/>
      <c r="R186" s="154"/>
      <c r="S186" s="154"/>
    </row>
    <row r="187">
      <c r="A187" s="154"/>
      <c r="B187" s="154"/>
      <c r="C187" s="155"/>
      <c r="D187" s="156"/>
      <c r="E187" s="155"/>
      <c r="F187" s="155"/>
      <c r="G187" s="155"/>
      <c r="H187" s="157"/>
      <c r="I187" s="154"/>
      <c r="J187" s="154"/>
      <c r="K187" s="154"/>
      <c r="L187" s="155"/>
      <c r="M187" s="156"/>
      <c r="N187" s="155"/>
      <c r="O187" s="155"/>
      <c r="P187" s="155"/>
      <c r="Q187" s="157"/>
      <c r="R187" s="154"/>
      <c r="S187" s="154"/>
    </row>
    <row r="188">
      <c r="A188" s="154"/>
      <c r="B188" s="154"/>
      <c r="C188" s="155"/>
      <c r="D188" s="156"/>
      <c r="E188" s="155"/>
      <c r="F188" s="155"/>
      <c r="G188" s="155"/>
      <c r="H188" s="157"/>
      <c r="I188" s="154"/>
      <c r="J188" s="154"/>
      <c r="K188" s="154"/>
      <c r="L188" s="155"/>
      <c r="M188" s="156"/>
      <c r="N188" s="155"/>
      <c r="O188" s="155"/>
      <c r="P188" s="155"/>
      <c r="Q188" s="157"/>
      <c r="R188" s="154"/>
      <c r="S188" s="154"/>
    </row>
    <row r="189">
      <c r="A189" s="154"/>
      <c r="B189" s="154"/>
      <c r="C189" s="155"/>
      <c r="D189" s="156"/>
      <c r="E189" s="155"/>
      <c r="F189" s="155"/>
      <c r="G189" s="155"/>
      <c r="H189" s="157"/>
      <c r="I189" s="154"/>
      <c r="J189" s="154"/>
      <c r="K189" s="154"/>
      <c r="L189" s="155"/>
      <c r="M189" s="156"/>
      <c r="N189" s="155"/>
      <c r="O189" s="155"/>
      <c r="P189" s="155"/>
      <c r="Q189" s="157"/>
      <c r="R189" s="154"/>
      <c r="S189" s="154"/>
    </row>
    <row r="190">
      <c r="A190" s="154"/>
      <c r="B190" s="154"/>
      <c r="C190" s="155"/>
      <c r="D190" s="156"/>
      <c r="E190" s="155"/>
      <c r="F190" s="155"/>
      <c r="G190" s="155"/>
      <c r="H190" s="157"/>
      <c r="I190" s="154"/>
      <c r="J190" s="154"/>
      <c r="K190" s="154"/>
      <c r="L190" s="155"/>
      <c r="M190" s="156"/>
      <c r="N190" s="155"/>
      <c r="O190" s="155"/>
      <c r="P190" s="155"/>
      <c r="Q190" s="157"/>
      <c r="R190" s="154"/>
      <c r="S190" s="154"/>
    </row>
    <row r="191">
      <c r="A191" s="154"/>
      <c r="B191" s="154"/>
      <c r="C191" s="155"/>
      <c r="D191" s="156"/>
      <c r="E191" s="155"/>
      <c r="F191" s="155"/>
      <c r="G191" s="155"/>
      <c r="H191" s="157"/>
      <c r="I191" s="154"/>
      <c r="J191" s="154"/>
      <c r="K191" s="154"/>
      <c r="L191" s="155"/>
      <c r="M191" s="156"/>
      <c r="N191" s="155"/>
      <c r="O191" s="155"/>
      <c r="P191" s="155"/>
      <c r="Q191" s="157"/>
      <c r="R191" s="154"/>
      <c r="S191" s="154"/>
    </row>
    <row r="192">
      <c r="A192" s="154"/>
      <c r="B192" s="154"/>
      <c r="C192" s="155"/>
      <c r="D192" s="156"/>
      <c r="E192" s="155"/>
      <c r="F192" s="155"/>
      <c r="G192" s="155"/>
      <c r="H192" s="157"/>
      <c r="I192" s="154"/>
      <c r="J192" s="154"/>
      <c r="K192" s="154"/>
      <c r="L192" s="155"/>
      <c r="M192" s="156"/>
      <c r="N192" s="155"/>
      <c r="O192" s="155"/>
      <c r="P192" s="155"/>
      <c r="Q192" s="157"/>
      <c r="R192" s="154"/>
      <c r="S192" s="154"/>
    </row>
    <row r="193">
      <c r="A193" s="154"/>
      <c r="B193" s="154"/>
      <c r="C193" s="155"/>
      <c r="D193" s="156"/>
      <c r="E193" s="155"/>
      <c r="F193" s="155"/>
      <c r="G193" s="155"/>
      <c r="H193" s="157"/>
      <c r="I193" s="154"/>
      <c r="J193" s="154"/>
      <c r="K193" s="154"/>
      <c r="L193" s="155"/>
      <c r="M193" s="156"/>
      <c r="N193" s="155"/>
      <c r="O193" s="155"/>
      <c r="P193" s="155"/>
      <c r="Q193" s="157"/>
      <c r="R193" s="154"/>
      <c r="S193" s="154"/>
    </row>
    <row r="194">
      <c r="A194" s="154"/>
      <c r="B194" s="154"/>
      <c r="C194" s="155"/>
      <c r="D194" s="156"/>
      <c r="E194" s="155"/>
      <c r="F194" s="155"/>
      <c r="G194" s="155"/>
      <c r="H194" s="157"/>
      <c r="I194" s="154"/>
      <c r="J194" s="154"/>
      <c r="K194" s="154"/>
      <c r="L194" s="155"/>
      <c r="M194" s="156"/>
      <c r="N194" s="155"/>
      <c r="O194" s="155"/>
      <c r="P194" s="155"/>
      <c r="Q194" s="157"/>
      <c r="R194" s="154"/>
      <c r="S194" s="154"/>
    </row>
    <row r="195">
      <c r="A195" s="154"/>
      <c r="B195" s="154"/>
      <c r="C195" s="155"/>
      <c r="D195" s="156"/>
      <c r="E195" s="155"/>
      <c r="F195" s="155"/>
      <c r="G195" s="155"/>
      <c r="H195" s="157"/>
      <c r="I195" s="154"/>
      <c r="J195" s="154"/>
      <c r="K195" s="154"/>
      <c r="L195" s="155"/>
      <c r="M195" s="156"/>
      <c r="N195" s="155"/>
      <c r="O195" s="155"/>
      <c r="P195" s="155"/>
      <c r="Q195" s="157"/>
      <c r="R195" s="154"/>
      <c r="S195" s="154"/>
    </row>
    <row r="196">
      <c r="A196" s="154"/>
      <c r="B196" s="154"/>
      <c r="C196" s="155"/>
      <c r="D196" s="156"/>
      <c r="E196" s="155"/>
      <c r="F196" s="155"/>
      <c r="G196" s="155"/>
      <c r="H196" s="157"/>
      <c r="I196" s="154"/>
      <c r="J196" s="154"/>
      <c r="K196" s="154"/>
      <c r="L196" s="155"/>
      <c r="M196" s="156"/>
      <c r="N196" s="155"/>
      <c r="O196" s="155"/>
      <c r="P196" s="155"/>
      <c r="Q196" s="157"/>
      <c r="R196" s="154"/>
      <c r="S196" s="154"/>
    </row>
    <row r="197">
      <c r="A197" s="154"/>
      <c r="B197" s="154"/>
      <c r="C197" s="155"/>
      <c r="D197" s="156"/>
      <c r="E197" s="155"/>
      <c r="F197" s="155"/>
      <c r="G197" s="155"/>
      <c r="H197" s="157"/>
      <c r="I197" s="154"/>
      <c r="J197" s="154"/>
      <c r="K197" s="154"/>
      <c r="L197" s="155"/>
      <c r="M197" s="156"/>
      <c r="N197" s="155"/>
      <c r="O197" s="155"/>
      <c r="P197" s="155"/>
      <c r="Q197" s="157"/>
      <c r="R197" s="154"/>
      <c r="S197" s="154"/>
    </row>
    <row r="198">
      <c r="A198" s="154"/>
      <c r="B198" s="154"/>
      <c r="C198" s="155"/>
      <c r="D198" s="156"/>
      <c r="E198" s="155"/>
      <c r="F198" s="155"/>
      <c r="G198" s="155"/>
      <c r="H198" s="157"/>
      <c r="I198" s="154"/>
      <c r="J198" s="154"/>
      <c r="K198" s="154"/>
      <c r="L198" s="155"/>
      <c r="M198" s="156"/>
      <c r="N198" s="155"/>
      <c r="O198" s="155"/>
      <c r="P198" s="155"/>
      <c r="Q198" s="157"/>
      <c r="R198" s="154"/>
      <c r="S198" s="154"/>
    </row>
    <row r="199">
      <c r="A199" s="154"/>
      <c r="B199" s="154"/>
      <c r="C199" s="155"/>
      <c r="D199" s="156"/>
      <c r="E199" s="155"/>
      <c r="F199" s="155"/>
      <c r="G199" s="155"/>
      <c r="H199" s="157"/>
      <c r="I199" s="154"/>
      <c r="J199" s="154"/>
      <c r="K199" s="154"/>
      <c r="L199" s="155"/>
      <c r="M199" s="156"/>
      <c r="N199" s="155"/>
      <c r="O199" s="155"/>
      <c r="P199" s="155"/>
      <c r="Q199" s="157"/>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row r="591">
      <c r="A591" s="154"/>
      <c r="B591" s="154"/>
      <c r="C591" s="155"/>
      <c r="D591" s="156"/>
      <c r="E591" s="155"/>
      <c r="F591" s="155"/>
      <c r="G591" s="155"/>
      <c r="H591" s="157"/>
      <c r="I591" s="154"/>
      <c r="J591" s="154"/>
      <c r="K591" s="154"/>
      <c r="L591" s="155"/>
      <c r="M591" s="156"/>
      <c r="N591" s="155"/>
      <c r="O591" s="155"/>
      <c r="P591" s="155"/>
      <c r="Q591" s="157"/>
      <c r="R591" s="154"/>
      <c r="S591" s="154"/>
    </row>
    <row r="592">
      <c r="A592" s="154"/>
      <c r="B592" s="154"/>
      <c r="C592" s="155"/>
      <c r="D592" s="156"/>
      <c r="E592" s="155"/>
      <c r="F592" s="155"/>
      <c r="G592" s="155"/>
      <c r="H592" s="157"/>
      <c r="I592" s="154"/>
      <c r="J592" s="154"/>
      <c r="K592" s="154"/>
      <c r="L592" s="155"/>
      <c r="M592" s="156"/>
      <c r="N592" s="155"/>
      <c r="O592" s="155"/>
      <c r="P592" s="155"/>
      <c r="Q592" s="157"/>
      <c r="R592" s="154"/>
      <c r="S592" s="154"/>
    </row>
    <row r="593">
      <c r="A593" s="154"/>
      <c r="B593" s="154"/>
      <c r="C593" s="155"/>
      <c r="D593" s="156"/>
      <c r="E593" s="155"/>
      <c r="F593" s="155"/>
      <c r="G593" s="155"/>
      <c r="H593" s="157"/>
      <c r="I593" s="154"/>
      <c r="J593" s="154"/>
      <c r="K593" s="154"/>
      <c r="L593" s="155"/>
      <c r="M593" s="156"/>
      <c r="N593" s="155"/>
      <c r="O593" s="155"/>
      <c r="P593" s="155"/>
      <c r="Q593" s="157"/>
      <c r="R593" s="154"/>
      <c r="S593" s="154"/>
    </row>
    <row r="594">
      <c r="A594" s="154"/>
      <c r="B594" s="154"/>
      <c r="C594" s="155"/>
      <c r="D594" s="156"/>
      <c r="E594" s="155"/>
      <c r="F594" s="155"/>
      <c r="G594" s="155"/>
      <c r="H594" s="157"/>
      <c r="I594" s="154"/>
      <c r="J594" s="154"/>
      <c r="K594" s="154"/>
      <c r="L594" s="155"/>
      <c r="M594" s="156"/>
      <c r="N594" s="155"/>
      <c r="O594" s="155"/>
      <c r="P594" s="155"/>
      <c r="Q594" s="157"/>
      <c r="R594" s="154"/>
      <c r="S594" s="154"/>
    </row>
    <row r="595">
      <c r="A595" s="154"/>
      <c r="B595" s="154"/>
      <c r="C595" s="155"/>
      <c r="D595" s="156"/>
      <c r="E595" s="155"/>
      <c r="F595" s="155"/>
      <c r="G595" s="155"/>
      <c r="H595" s="157"/>
      <c r="I595" s="154"/>
      <c r="J595" s="154"/>
      <c r="K595" s="154"/>
      <c r="L595" s="155"/>
      <c r="M595" s="156"/>
      <c r="N595" s="155"/>
      <c r="O595" s="155"/>
      <c r="P595" s="155"/>
      <c r="Q595" s="157"/>
      <c r="R595" s="154"/>
      <c r="S595" s="154"/>
    </row>
    <row r="596">
      <c r="A596" s="154"/>
      <c r="B596" s="154"/>
      <c r="C596" s="155"/>
      <c r="D596" s="156"/>
      <c r="E596" s="155"/>
      <c r="F596" s="155"/>
      <c r="G596" s="155"/>
      <c r="H596" s="157"/>
      <c r="I596" s="154"/>
      <c r="J596" s="154"/>
      <c r="K596" s="154"/>
      <c r="L596" s="155"/>
      <c r="M596" s="156"/>
      <c r="N596" s="155"/>
      <c r="O596" s="155"/>
      <c r="P596" s="155"/>
      <c r="Q596" s="157"/>
      <c r="R596" s="154"/>
      <c r="S596" s="154"/>
    </row>
    <row r="597">
      <c r="A597" s="154"/>
      <c r="B597" s="154"/>
      <c r="C597" s="155"/>
      <c r="D597" s="156"/>
      <c r="E597" s="155"/>
      <c r="F597" s="155"/>
      <c r="G597" s="155"/>
      <c r="H597" s="157"/>
      <c r="I597" s="154"/>
      <c r="J597" s="154"/>
      <c r="K597" s="154"/>
      <c r="L597" s="155"/>
      <c r="M597" s="156"/>
      <c r="N597" s="155"/>
      <c r="O597" s="155"/>
      <c r="P597" s="155"/>
      <c r="Q597" s="157"/>
      <c r="R597" s="154"/>
      <c r="S597" s="154"/>
    </row>
    <row r="598">
      <c r="A598" s="154"/>
      <c r="B598" s="154"/>
      <c r="C598" s="155"/>
      <c r="D598" s="156"/>
      <c r="E598" s="155"/>
      <c r="F598" s="155"/>
      <c r="G598" s="155"/>
      <c r="H598" s="157"/>
      <c r="I598" s="154"/>
      <c r="J598" s="154"/>
      <c r="K598" s="154"/>
      <c r="L598" s="155"/>
      <c r="M598" s="156"/>
      <c r="N598" s="155"/>
      <c r="O598" s="155"/>
      <c r="P598" s="155"/>
      <c r="Q598" s="157"/>
      <c r="R598" s="154"/>
      <c r="S598" s="154"/>
    </row>
    <row r="599">
      <c r="A599" s="154"/>
      <c r="B599" s="154"/>
      <c r="C599" s="155"/>
      <c r="D599" s="156"/>
      <c r="E599" s="155"/>
      <c r="F599" s="155"/>
      <c r="G599" s="155"/>
      <c r="H599" s="157"/>
      <c r="I599" s="154"/>
      <c r="J599" s="154"/>
      <c r="K599" s="154"/>
      <c r="L599" s="155"/>
      <c r="M599" s="156"/>
      <c r="N599" s="155"/>
      <c r="O599" s="155"/>
      <c r="P599" s="155"/>
      <c r="Q599" s="157"/>
      <c r="R599" s="154"/>
      <c r="S599" s="154"/>
    </row>
    <row r="600">
      <c r="A600" s="154"/>
      <c r="B600" s="154"/>
      <c r="C600" s="155"/>
      <c r="D600" s="156"/>
      <c r="E600" s="155"/>
      <c r="F600" s="155"/>
      <c r="G600" s="155"/>
      <c r="H600" s="157"/>
      <c r="I600" s="154"/>
      <c r="J600" s="154"/>
      <c r="K600" s="154"/>
      <c r="L600" s="155"/>
      <c r="M600" s="156"/>
      <c r="N600" s="155"/>
      <c r="O600" s="155"/>
      <c r="P600" s="155"/>
      <c r="Q600" s="157"/>
      <c r="R600" s="154"/>
      <c r="S600" s="154"/>
    </row>
    <row r="601">
      <c r="A601" s="154"/>
      <c r="B601" s="154"/>
      <c r="C601" s="155"/>
      <c r="D601" s="156"/>
      <c r="E601" s="155"/>
      <c r="F601" s="155"/>
      <c r="G601" s="155"/>
      <c r="H601" s="157"/>
      <c r="I601" s="154"/>
      <c r="J601" s="154"/>
      <c r="K601" s="154"/>
      <c r="L601" s="155"/>
      <c r="M601" s="156"/>
      <c r="N601" s="155"/>
      <c r="O601" s="155"/>
      <c r="P601" s="155"/>
      <c r="Q601" s="157"/>
      <c r="R601" s="154"/>
      <c r="S601" s="154"/>
    </row>
    <row r="602">
      <c r="A602" s="154"/>
      <c r="B602" s="154"/>
      <c r="C602" s="155"/>
      <c r="D602" s="156"/>
      <c r="E602" s="155"/>
      <c r="F602" s="155"/>
      <c r="G602" s="155"/>
      <c r="H602" s="157"/>
      <c r="I602" s="154"/>
      <c r="J602" s="154"/>
      <c r="K602" s="154"/>
      <c r="L602" s="155"/>
      <c r="M602" s="156"/>
      <c r="N602" s="155"/>
      <c r="O602" s="155"/>
      <c r="P602" s="155"/>
      <c r="Q602" s="157"/>
      <c r="R602" s="154"/>
      <c r="S602" s="154"/>
    </row>
    <row r="603">
      <c r="A603" s="154"/>
      <c r="B603" s="154"/>
      <c r="C603" s="155"/>
      <c r="D603" s="156"/>
      <c r="E603" s="155"/>
      <c r="F603" s="155"/>
      <c r="G603" s="155"/>
      <c r="H603" s="157"/>
      <c r="I603" s="154"/>
      <c r="J603" s="154"/>
      <c r="K603" s="154"/>
      <c r="L603" s="155"/>
      <c r="M603" s="156"/>
      <c r="N603" s="155"/>
      <c r="O603" s="155"/>
      <c r="P603" s="155"/>
      <c r="Q603" s="157"/>
      <c r="R603" s="154"/>
      <c r="S603" s="154"/>
    </row>
    <row r="604">
      <c r="A604" s="154"/>
      <c r="B604" s="154"/>
      <c r="C604" s="155"/>
      <c r="D604" s="156"/>
      <c r="E604" s="155"/>
      <c r="F604" s="155"/>
      <c r="G604" s="155"/>
      <c r="H604" s="157"/>
      <c r="I604" s="154"/>
      <c r="J604" s="154"/>
      <c r="K604" s="154"/>
      <c r="L604" s="155"/>
      <c r="M604" s="156"/>
      <c r="N604" s="155"/>
      <c r="O604" s="155"/>
      <c r="P604" s="155"/>
      <c r="Q604" s="157"/>
      <c r="R604" s="154"/>
      <c r="S604" s="154"/>
    </row>
    <row r="605">
      <c r="A605" s="154"/>
      <c r="B605" s="154"/>
      <c r="C605" s="155"/>
      <c r="D605" s="156"/>
      <c r="E605" s="155"/>
      <c r="F605" s="155"/>
      <c r="G605" s="155"/>
      <c r="H605" s="157"/>
      <c r="I605" s="154"/>
      <c r="J605" s="154"/>
      <c r="K605" s="154"/>
      <c r="L605" s="155"/>
      <c r="M605" s="156"/>
      <c r="N605" s="155"/>
      <c r="O605" s="155"/>
      <c r="P605" s="155"/>
      <c r="Q605" s="157"/>
      <c r="R605" s="154"/>
      <c r="S605" s="154"/>
    </row>
    <row r="606">
      <c r="A606" s="154"/>
      <c r="B606" s="154"/>
      <c r="C606" s="155"/>
      <c r="D606" s="156"/>
      <c r="E606" s="155"/>
      <c r="F606" s="155"/>
      <c r="G606" s="155"/>
      <c r="H606" s="157"/>
      <c r="I606" s="154"/>
      <c r="J606" s="154"/>
      <c r="K606" s="154"/>
      <c r="L606" s="155"/>
      <c r="M606" s="156"/>
      <c r="N606" s="155"/>
      <c r="O606" s="155"/>
      <c r="P606" s="155"/>
      <c r="Q606" s="157"/>
      <c r="R606" s="154"/>
      <c r="S606" s="154"/>
    </row>
    <row r="607">
      <c r="A607" s="154"/>
      <c r="B607" s="154"/>
      <c r="C607" s="155"/>
      <c r="D607" s="156"/>
      <c r="E607" s="155"/>
      <c r="F607" s="155"/>
      <c r="G607" s="155"/>
      <c r="H607" s="157"/>
      <c r="I607" s="154"/>
      <c r="J607" s="154"/>
      <c r="K607" s="154"/>
      <c r="L607" s="155"/>
      <c r="M607" s="156"/>
      <c r="N607" s="155"/>
      <c r="O607" s="155"/>
      <c r="P607" s="155"/>
      <c r="Q607" s="157"/>
      <c r="R607" s="154"/>
      <c r="S607" s="154"/>
    </row>
  </sheetData>
  <mergeCells count="6">
    <mergeCell ref="C1:H1"/>
    <mergeCell ref="L1:Q1"/>
    <mergeCell ref="C2:H2"/>
    <mergeCell ref="L2:Q2"/>
    <mergeCell ref="C3:H3"/>
    <mergeCell ref="L3:Q3"/>
  </mergeCells>
  <dataValidations>
    <dataValidation type="list" allowBlank="1" showErrorMessage="1" sqref="A1:C1 I1:L1 R1:S1">
      <formula1>'All Competencies'!$A$3:$A607</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Q9"/>
    <hyperlink r:id="rId21" ref="D10"/>
    <hyperlink r:id="rId22" ref="H10"/>
    <hyperlink r:id="rId23" ref="M10"/>
    <hyperlink r:id="rId24" ref="Q10"/>
    <hyperlink r:id="rId25" ref="D11"/>
    <hyperlink r:id="rId26" ref="H11"/>
    <hyperlink r:id="rId27" ref="M11"/>
    <hyperlink r:id="rId28" ref="Q11"/>
    <hyperlink r:id="rId29" ref="D12"/>
    <hyperlink r:id="rId30" ref="H12"/>
    <hyperlink r:id="rId31" ref="M12"/>
    <hyperlink r:id="rId32" ref="Q12"/>
    <hyperlink r:id="rId33" ref="D13"/>
    <hyperlink r:id="rId34" ref="H13"/>
    <hyperlink r:id="rId35" ref="M13"/>
    <hyperlink r:id="rId36" ref="Q13"/>
    <hyperlink r:id="rId37" ref="D14"/>
    <hyperlink r:id="rId38" ref="H14"/>
    <hyperlink r:id="rId39" ref="M14"/>
    <hyperlink r:id="rId40" ref="Q14"/>
    <hyperlink r:id="rId41" ref="D15"/>
    <hyperlink r:id="rId42" ref="H15"/>
    <hyperlink r:id="rId43" ref="M15"/>
    <hyperlink r:id="rId44" ref="Q15"/>
    <hyperlink r:id="rId45" ref="D16"/>
    <hyperlink r:id="rId46" ref="H16"/>
    <hyperlink r:id="rId47" ref="M16"/>
    <hyperlink r:id="rId48" ref="Q16"/>
    <hyperlink r:id="rId49" ref="D17"/>
    <hyperlink r:id="rId50" ref="H17"/>
    <hyperlink r:id="rId51" ref="M17"/>
    <hyperlink r:id="rId52" ref="Q17"/>
    <hyperlink r:id="rId53" ref="D18"/>
    <hyperlink r:id="rId54" ref="H18"/>
    <hyperlink r:id="rId55" ref="M18"/>
    <hyperlink r:id="rId56" ref="D19"/>
    <hyperlink r:id="rId57" ref="H19"/>
    <hyperlink r:id="rId58" ref="M19"/>
    <hyperlink r:id="rId59" ref="D20"/>
    <hyperlink r:id="rId60" ref="H20"/>
    <hyperlink r:id="rId61" ref="M20"/>
    <hyperlink r:id="rId62" ref="D21"/>
    <hyperlink r:id="rId63" ref="M21"/>
    <hyperlink r:id="rId64" ref="D22"/>
    <hyperlink r:id="rId65" ref="M22"/>
    <hyperlink r:id="rId66" ref="D23"/>
    <hyperlink r:id="rId67" ref="M23"/>
    <hyperlink r:id="rId68" ref="D24"/>
    <hyperlink r:id="rId69" ref="M24"/>
    <hyperlink r:id="rId70" ref="D25"/>
    <hyperlink r:id="rId71" ref="M25"/>
    <hyperlink r:id="rId72" ref="D26"/>
    <hyperlink r:id="rId73" ref="M26"/>
    <hyperlink r:id="rId74" ref="D27"/>
    <hyperlink r:id="rId75" ref="M27"/>
    <hyperlink r:id="rId76" ref="D28"/>
    <hyperlink r:id="rId77" ref="M28"/>
    <hyperlink r:id="rId78" ref="D29"/>
    <hyperlink r:id="rId79" ref="M29"/>
    <hyperlink r:id="rId80" ref="D30"/>
    <hyperlink r:id="rId81" ref="M30"/>
    <hyperlink r:id="rId82" ref="D31"/>
    <hyperlink r:id="rId83" ref="M31"/>
    <hyperlink r:id="rId84" ref="D32"/>
    <hyperlink r:id="rId85" ref="M32"/>
    <hyperlink r:id="rId86" ref="D33"/>
    <hyperlink r:id="rId87" ref="M33"/>
    <hyperlink r:id="rId88" ref="D34"/>
    <hyperlink r:id="rId89" ref="M34"/>
    <hyperlink r:id="rId90" ref="D35"/>
    <hyperlink r:id="rId91" ref="M35"/>
    <hyperlink r:id="rId92" ref="D36"/>
    <hyperlink r:id="rId93" ref="M36"/>
    <hyperlink r:id="rId94" ref="D37"/>
    <hyperlink r:id="rId95" ref="M37"/>
    <hyperlink r:id="rId96" ref="D38"/>
    <hyperlink r:id="rId97" ref="M38"/>
    <hyperlink r:id="rId98" ref="D39"/>
    <hyperlink r:id="rId99" ref="M39"/>
    <hyperlink r:id="rId100" ref="D40"/>
    <hyperlink r:id="rId101" ref="M40"/>
    <hyperlink r:id="rId102" ref="D41"/>
    <hyperlink r:id="rId103" ref="M41"/>
    <hyperlink r:id="rId104" ref="D42"/>
    <hyperlink r:id="rId105" ref="M42"/>
    <hyperlink r:id="rId106" ref="D43"/>
    <hyperlink r:id="rId107" ref="M43"/>
    <hyperlink r:id="rId108" ref="D44"/>
    <hyperlink r:id="rId109" ref="M44"/>
    <hyperlink r:id="rId110" ref="D45"/>
    <hyperlink r:id="rId111" ref="M45"/>
    <hyperlink r:id="rId112" ref="D46"/>
    <hyperlink r:id="rId113" ref="M46"/>
    <hyperlink r:id="rId114" ref="D47"/>
    <hyperlink r:id="rId115" ref="M47"/>
    <hyperlink r:id="rId116" ref="D48"/>
    <hyperlink r:id="rId117" ref="M48"/>
    <hyperlink r:id="rId118" ref="D49"/>
    <hyperlink r:id="rId119" ref="M49"/>
    <hyperlink r:id="rId120" ref="D50"/>
    <hyperlink r:id="rId121" ref="M50"/>
    <hyperlink r:id="rId122" ref="D51"/>
    <hyperlink r:id="rId123" ref="M51"/>
    <hyperlink r:id="rId124" ref="D52"/>
    <hyperlink r:id="rId125" ref="M52"/>
    <hyperlink r:id="rId126" ref="D53"/>
    <hyperlink r:id="rId127" ref="M53"/>
    <hyperlink r:id="rId128" ref="D54"/>
    <hyperlink r:id="rId129" ref="M54"/>
    <hyperlink r:id="rId130" ref="D55"/>
    <hyperlink r:id="rId131" ref="D56"/>
    <hyperlink r:id="rId132" ref="D57"/>
    <hyperlink r:id="rId133" ref="D58"/>
    <hyperlink r:id="rId134" ref="D59"/>
    <hyperlink r:id="rId135" ref="D60"/>
    <hyperlink r:id="rId136" ref="D61"/>
    <hyperlink r:id="rId137" ref="D62"/>
    <hyperlink r:id="rId138" ref="D63"/>
    <hyperlink r:id="rId139" ref="D64"/>
    <hyperlink r:id="rId140" ref="D65"/>
    <hyperlink r:id="rId141" ref="D66"/>
    <hyperlink r:id="rId142" ref="D67"/>
    <hyperlink r:id="rId143" ref="D68"/>
    <hyperlink r:id="rId144" ref="D69"/>
    <hyperlink r:id="rId145" ref="D70"/>
    <hyperlink r:id="rId146" ref="D71"/>
    <hyperlink r:id="rId147" ref="D72"/>
    <hyperlink r:id="rId148" ref="D73"/>
    <hyperlink r:id="rId149" ref="D74"/>
    <hyperlink r:id="rId150" ref="D75"/>
    <hyperlink r:id="rId151" ref="D76"/>
    <hyperlink r:id="rId152" ref="D77"/>
    <hyperlink r:id="rId153" ref="D78"/>
    <hyperlink r:id="rId154" ref="D79"/>
    <hyperlink r:id="rId155" ref="D80"/>
    <hyperlink r:id="rId156" ref="D81"/>
    <hyperlink r:id="rId157" ref="D82"/>
    <hyperlink r:id="rId158" ref="D83"/>
    <hyperlink r:id="rId159" ref="D84"/>
    <hyperlink r:id="rId160" ref="D85"/>
    <hyperlink r:id="rId161" ref="D86"/>
    <hyperlink r:id="rId162" ref="D87"/>
    <hyperlink r:id="rId163" ref="D88"/>
    <hyperlink r:id="rId164" ref="D89"/>
    <hyperlink r:id="rId165" ref="D90"/>
    <hyperlink r:id="rId166" ref="D91"/>
  </hyperlinks>
  <drawing r:id="rId167"/>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20.13"/>
    <col customWidth="1" min="6" max="6" width="22.38"/>
    <col customWidth="1" min="7" max="7" width="11.38"/>
    <col customWidth="1" min="8" max="8" width="43.88"/>
    <col customWidth="1" min="9" max="11" width="0.63"/>
    <col customWidth="1" min="12" max="12" width="11.88"/>
    <col customWidth="1" min="13" max="13" width="48.0"/>
    <col customWidth="1" min="14" max="14" width="18.88"/>
    <col customWidth="1" min="15" max="15" width="22.38"/>
    <col customWidth="1" min="16" max="16" width="11.38"/>
    <col customWidth="1" min="17" max="17" width="43.88"/>
    <col customWidth="1" min="18" max="19" width="0.63"/>
  </cols>
  <sheetData>
    <row r="1" ht="27.75" customHeight="1" outlineLevel="1">
      <c r="A1" s="130"/>
      <c r="B1" s="130"/>
      <c r="C1" s="131" t="s">
        <v>889</v>
      </c>
      <c r="I1" s="130"/>
      <c r="J1" s="130"/>
      <c r="K1" s="130"/>
      <c r="L1" s="131" t="s">
        <v>993</v>
      </c>
      <c r="R1" s="130"/>
      <c r="S1" s="130"/>
    </row>
    <row r="2" outlineLevel="1">
      <c r="A2" s="132"/>
      <c r="B2" s="132"/>
      <c r="C2" s="133" t="s">
        <v>1986</v>
      </c>
      <c r="I2" s="132"/>
      <c r="J2" s="132"/>
      <c r="K2" s="132"/>
      <c r="L2" s="133" t="s">
        <v>1986</v>
      </c>
      <c r="R2" s="132"/>
      <c r="S2" s="132"/>
    </row>
    <row r="3" outlineLevel="1">
      <c r="A3" s="134"/>
      <c r="B3" s="134"/>
      <c r="C3" s="135" t="str">
        <f>IFERROR(__xludf.DUMMYFUNCTION("IFERROR(UNIQUE(FILTER('Competency Learning Paths'!N:N,'Competency Learning Paths'!A:A= C1)))"),"Financial Acumen, Financial Decision-Making, Financial Management")</f>
        <v>Financial Acumen, Financial Decision-Making, Financial Management</v>
      </c>
      <c r="I3" s="134"/>
      <c r="J3" s="134"/>
      <c r="K3" s="134"/>
      <c r="L3" s="135" t="str">
        <f>IFERROR(__xludf.DUMMYFUNCTION("IFERROR(UNIQUE(FILTER('Competency Learning Paths'!N:N,'Competency Learning Paths'!A:A= L1)))"),"Strategic Positioner, Credible Activist, Paradox Navigator, Culture and Change Champion, Total Reward Steward, Compliance Manager, Business Acumen, Human Resource Expertise, Relationship Management, Consultation, Leadership and Navigation, Global and Cult"&amp;"ural Effectiveness, Ethical Practice, Critical Evaluation")</f>
        <v>Strategic Positioner, Credible Activist, Paradox Navigator, Culture and Change Champion, Total Reward Steward, Compliance Manager, Business Acumen, Human Resource Expertise, Relationship Management, Consultation, Leadership and Navigation, Global and Cultural Effectiveness, Ethical Practice, Critical Evaluation</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IFERROR(__xludf.DUMMYFUNCTION("""COMPUTED_VALUE"""),3008866.0)</f>
        <v>3008866</v>
      </c>
      <c r="D5" s="142" t="str">
        <f>IFERROR(__xludf.DUMMYFUNCTION("""COMPUTED_VALUE"""),"Emerging Financial Risk Management")</f>
        <v>Emerging Financial Risk Management</v>
      </c>
      <c r="E5" s="141" t="str">
        <f>IFERROR(__xludf.DUMMYFUNCTION("""COMPUTED_VALUE"""),"C-Suite")</f>
        <v>C-Suite</v>
      </c>
      <c r="F5" s="141" t="str">
        <f>IFERROR(__xludf.DUMMYFUNCTION("""COMPUTED_VALUE"""),"Beginner")</f>
        <v>Beginner</v>
      </c>
      <c r="G5" s="143">
        <f>IFERROR(__xludf.DUMMYFUNCTION("""COMPUTED_VALUE"""),0.05116898148148148)</f>
        <v>0.05116898148</v>
      </c>
      <c r="H5" s="144" t="str">
        <f>IFERROR(__xludf.DUMMYFUNCTION("""COMPUTED_VALUE"""),"Become an Accounts Payable Officer")</f>
        <v>Become an Accounts Payable Officer</v>
      </c>
      <c r="I5" s="140"/>
      <c r="J5" s="140"/>
      <c r="K5" s="140"/>
      <c r="L5" s="141">
        <f>IFERROR(__xludf.DUMMYFUNCTION("""COMPUTED_VALUE"""),688515.0)</f>
        <v>688515</v>
      </c>
      <c r="M5" s="145" t="str">
        <f>IFERROR(__xludf.DUMMYFUNCTION("""COMPUTED_VALUE"""),"Succession Planning")</f>
        <v>Succession Planning</v>
      </c>
      <c r="N5" s="141" t="str">
        <f>IFERROR(__xludf.DUMMYFUNCTION("""COMPUTED_VALUE"""),"C-Suite")</f>
        <v>C-Suite</v>
      </c>
      <c r="O5" s="141" t="str">
        <f>IFERROR(__xludf.DUMMYFUNCTION("""COMPUTED_VALUE"""),"Advanced")</f>
        <v>Advanced</v>
      </c>
      <c r="P5" s="146">
        <f>IFERROR(__xludf.DUMMYFUNCTION("""COMPUTED_VALUE"""),0.03480324074074074)</f>
        <v>0.03480324074</v>
      </c>
      <c r="Q5" s="144" t="str">
        <f>IFERROR(__xludf.DUMMYFUNCTION("""COMPUTED_VALUE"""),"Build a Company Learning and Development Program")</f>
        <v>Build a Company Learning and Development Program</v>
      </c>
      <c r="R5" s="140"/>
      <c r="S5" s="140"/>
    </row>
    <row r="6" ht="33.75" customHeight="1">
      <c r="A6" s="140"/>
      <c r="B6" s="140"/>
      <c r="C6" s="147">
        <f>IFERROR(__xludf.DUMMYFUNCTION("""COMPUTED_VALUE"""),2974327.0)</f>
        <v>2974327</v>
      </c>
      <c r="D6" s="148" t="str">
        <f>IFERROR(__xludf.DUMMYFUNCTION("""COMPUTED_VALUE"""),"Corporate Finance: Profitability in a Financial Downturn")</f>
        <v>Corporate Finance: Profitability in a Financial Downturn</v>
      </c>
      <c r="E6" s="147" t="str">
        <f>IFERROR(__xludf.DUMMYFUNCTION("""COMPUTED_VALUE"""),"C-Suite")</f>
        <v>C-Suite</v>
      </c>
      <c r="F6" s="141" t="str">
        <f>IFERROR(__xludf.DUMMYFUNCTION("""COMPUTED_VALUE"""),"Intermediate")</f>
        <v>Intermediate</v>
      </c>
      <c r="G6" s="143">
        <f>IFERROR(__xludf.DUMMYFUNCTION("""COMPUTED_VALUE"""),0.03175925925925926)</f>
        <v>0.03175925926</v>
      </c>
      <c r="H6" s="149" t="str">
        <f>IFERROR(__xludf.DUMMYFUNCTION("""COMPUTED_VALUE"""),"Become a Bookkeeper")</f>
        <v>Become a Bookkeeper</v>
      </c>
      <c r="I6" s="140"/>
      <c r="J6" s="140"/>
      <c r="K6" s="140"/>
      <c r="L6" s="147">
        <f>IFERROR(__xludf.DUMMYFUNCTION("""COMPUTED_VALUE"""),656782.0)</f>
        <v>656782</v>
      </c>
      <c r="M6" s="150" t="str">
        <f>IFERROR(__xludf.DUMMYFUNCTION("""COMPUTED_VALUE"""),"Organizational Culture")</f>
        <v>Organizational Culture</v>
      </c>
      <c r="N6" s="147" t="str">
        <f>IFERROR(__xludf.DUMMYFUNCTION("""COMPUTED_VALUE"""),"Senior Manager")</f>
        <v>Senior Manager</v>
      </c>
      <c r="O6" s="141" t="str">
        <f>IFERROR(__xludf.DUMMYFUNCTION("""COMPUTED_VALUE"""),"Beginner")</f>
        <v>Beginner</v>
      </c>
      <c r="P6" s="146">
        <f>IFERROR(__xludf.DUMMYFUNCTION("""COMPUTED_VALUE"""),0.03878472222222222)</f>
        <v>0.03878472222</v>
      </c>
      <c r="Q6" s="149" t="str">
        <f>IFERROR(__xludf.DUMMYFUNCTION("""COMPUTED_VALUE"""),"Become a Corporate Recruiter")</f>
        <v>Become a Corporate Recruiter</v>
      </c>
      <c r="R6" s="140"/>
      <c r="S6" s="140"/>
    </row>
    <row r="7" ht="33.75" customHeight="1">
      <c r="A7" s="140"/>
      <c r="B7" s="140"/>
      <c r="C7" s="147">
        <f>IFERROR(__xludf.DUMMYFUNCTION("""COMPUTED_VALUE"""),2819144.0)</f>
        <v>2819144</v>
      </c>
      <c r="D7" s="148" t="str">
        <f>IFERROR(__xludf.DUMMYFUNCTION("""COMPUTED_VALUE"""),"Lean Technology Strategy: Financial Management to Support Business Agility")</f>
        <v>Lean Technology Strategy: Financial Management to Support Business Agility</v>
      </c>
      <c r="E7" s="147" t="str">
        <f>IFERROR(__xludf.DUMMYFUNCTION("""COMPUTED_VALUE"""),"C-Suite")</f>
        <v>C-Suite</v>
      </c>
      <c r="F7" s="141" t="str">
        <f>IFERROR(__xludf.DUMMYFUNCTION("""COMPUTED_VALUE"""),"Intermediate")</f>
        <v>Intermediate</v>
      </c>
      <c r="G7" s="143">
        <f>IFERROR(__xludf.DUMMYFUNCTION("""COMPUTED_VALUE"""),0.027766203703703703)</f>
        <v>0.0277662037</v>
      </c>
      <c r="H7" s="149" t="str">
        <f>IFERROR(__xludf.DUMMYFUNCTION("""COMPUTED_VALUE"""),"Become a Corporate Financial Planning Analyst")</f>
        <v>Become a Corporate Financial Planning Analyst</v>
      </c>
      <c r="I7" s="140"/>
      <c r="J7" s="140"/>
      <c r="K7" s="140"/>
      <c r="L7" s="147">
        <f>IFERROR(__xludf.DUMMYFUNCTION("""COMPUTED_VALUE"""),661748.0)</f>
        <v>661748</v>
      </c>
      <c r="M7" s="150" t="str">
        <f>IFERROR(__xludf.DUMMYFUNCTION("""COMPUTED_VALUE"""),"Rewarding Employee Performance")</f>
        <v>Rewarding Employee Performance</v>
      </c>
      <c r="N7" s="147" t="str">
        <f>IFERROR(__xludf.DUMMYFUNCTION("""COMPUTED_VALUE"""),"Senior Manager")</f>
        <v>Senior Manager</v>
      </c>
      <c r="O7" s="141" t="str">
        <f>IFERROR(__xludf.DUMMYFUNCTION("""COMPUTED_VALUE"""),"Beginner + Intermediate")</f>
        <v>Beginner + Intermediate</v>
      </c>
      <c r="P7" s="146">
        <f>IFERROR(__xludf.DUMMYFUNCTION("""COMPUTED_VALUE"""),0.03037037037037037)</f>
        <v>0.03037037037</v>
      </c>
      <c r="Q7" s="149" t="str">
        <f>IFERROR(__xludf.DUMMYFUNCTION("""COMPUTED_VALUE"""),"Become an External Recruiter")</f>
        <v>Become an External Recruiter</v>
      </c>
      <c r="R7" s="140"/>
      <c r="S7" s="140"/>
    </row>
    <row r="8" ht="33.75" customHeight="1">
      <c r="A8" s="140"/>
      <c r="B8" s="140"/>
      <c r="C8" s="147">
        <f>IFERROR(__xludf.DUMMYFUNCTION("""COMPUTED_VALUE"""),184803.0)</f>
        <v>184803</v>
      </c>
      <c r="D8" s="148" t="str">
        <f>IFERROR(__xludf.DUMMYFUNCTION("""COMPUTED_VALUE"""),"Nonprofit Management Foundations")</f>
        <v>Nonprofit Management Foundations</v>
      </c>
      <c r="E8" s="147" t="str">
        <f>IFERROR(__xludf.DUMMYFUNCTION("""COMPUTED_VALUE"""),"Manager")</f>
        <v>Manager</v>
      </c>
      <c r="F8" s="141" t="str">
        <f>IFERROR(__xludf.DUMMYFUNCTION("""COMPUTED_VALUE"""),"Beginner")</f>
        <v>Beginner</v>
      </c>
      <c r="G8" s="143">
        <f>IFERROR(__xludf.DUMMYFUNCTION("""COMPUTED_VALUE"""),0.10337962962962963)</f>
        <v>0.1033796296</v>
      </c>
      <c r="H8" s="149" t="str">
        <f>IFERROR(__xludf.DUMMYFUNCTION("""COMPUTED_VALUE"""),"Become an Economist")</f>
        <v>Become an Economist</v>
      </c>
      <c r="I8" s="140"/>
      <c r="J8" s="140"/>
      <c r="K8" s="140"/>
      <c r="L8" s="147">
        <f>IFERROR(__xludf.DUMMYFUNCTION("""COMPUTED_VALUE"""),700792.0)</f>
        <v>700792</v>
      </c>
      <c r="M8" s="150" t="str">
        <f>IFERROR(__xludf.DUMMYFUNCTION("""COMPUTED_VALUE"""),"Employee Experience")</f>
        <v>Employee Experience</v>
      </c>
      <c r="N8" s="147" t="str">
        <f>IFERROR(__xludf.DUMMYFUNCTION("""COMPUTED_VALUE"""),"Senior Manager")</f>
        <v>Senior Manager</v>
      </c>
      <c r="O8" s="141" t="str">
        <f>IFERROR(__xludf.DUMMYFUNCTION("""COMPUTED_VALUE"""),"Intermediate")</f>
        <v>Intermediate</v>
      </c>
      <c r="P8" s="146">
        <f>IFERROR(__xludf.DUMMYFUNCTION("""COMPUTED_VALUE"""),0.025138888888888888)</f>
        <v>0.02513888889</v>
      </c>
      <c r="Q8" s="149" t="str">
        <f>IFERROR(__xludf.DUMMYFUNCTION("""COMPUTED_VALUE"""),"Become an HR Business Partner")</f>
        <v>Become an HR Business Partner</v>
      </c>
      <c r="R8" s="140"/>
      <c r="S8" s="140"/>
    </row>
    <row r="9" ht="33.75" customHeight="1">
      <c r="A9" s="140"/>
      <c r="B9" s="140"/>
      <c r="C9" s="147">
        <f>IFERROR(__xludf.DUMMYFUNCTION("""COMPUTED_VALUE"""),2806199.0)</f>
        <v>2806199</v>
      </c>
      <c r="D9" s="148" t="str">
        <f>IFERROR(__xludf.DUMMYFUNCTION("""COMPUTED_VALUE"""),"Accounting for Managers")</f>
        <v>Accounting for Managers</v>
      </c>
      <c r="E9" s="147" t="str">
        <f>IFERROR(__xludf.DUMMYFUNCTION("""COMPUTED_VALUE"""),"Manager")</f>
        <v>Manager</v>
      </c>
      <c r="F9" s="141" t="str">
        <f>IFERROR(__xludf.DUMMYFUNCTION("""COMPUTED_VALUE"""),"Beginner")</f>
        <v>Beginner</v>
      </c>
      <c r="G9" s="143">
        <f>IFERROR(__xludf.DUMMYFUNCTION("""COMPUTED_VALUE"""),0.022893518518518518)</f>
        <v>0.02289351852</v>
      </c>
      <c r="H9" s="149" t="str">
        <f>IFERROR(__xludf.DUMMYFUNCTION("""COMPUTED_VALUE"""),"Become a Financial Analyst")</f>
        <v>Become a Financial Analyst</v>
      </c>
      <c r="I9" s="140"/>
      <c r="J9" s="140"/>
      <c r="K9" s="140"/>
      <c r="L9" s="147">
        <f>IFERROR(__xludf.DUMMYFUNCTION("""COMPUTED_VALUE"""),520220.0)</f>
        <v>520220</v>
      </c>
      <c r="M9" s="148" t="str">
        <f>IFERROR(__xludf.DUMMYFUNCTION("""COMPUTED_VALUE"""),"Organizational Learning and Development")</f>
        <v>Organizational Learning and Development</v>
      </c>
      <c r="N9" s="147" t="str">
        <f>IFERROR(__xludf.DUMMYFUNCTION("""COMPUTED_VALUE"""),"Senior Manager")</f>
        <v>Senior Manager</v>
      </c>
      <c r="O9" s="141" t="str">
        <f>IFERROR(__xludf.DUMMYFUNCTION("""COMPUTED_VALUE"""),"Intermediate")</f>
        <v>Intermediate</v>
      </c>
      <c r="P9" s="143">
        <f>IFERROR(__xludf.DUMMYFUNCTION("""COMPUTED_VALUE"""),0.03736111111111111)</f>
        <v>0.03736111111</v>
      </c>
      <c r="Q9" s="149" t="str">
        <f>IFERROR(__xludf.DUMMYFUNCTION("""COMPUTED_VALUE"""),"Become a Technical Recruiter")</f>
        <v>Become a Technical Recruiter</v>
      </c>
      <c r="R9" s="140"/>
      <c r="S9" s="140"/>
    </row>
    <row r="10" ht="33.75" customHeight="1">
      <c r="A10" s="140"/>
      <c r="B10" s="140"/>
      <c r="C10" s="147">
        <f>IFERROR(__xludf.DUMMYFUNCTION("""COMPUTED_VALUE"""),3014060.0)</f>
        <v>3014060</v>
      </c>
      <c r="D10" s="148" t="str">
        <f>IFERROR(__xludf.DUMMYFUNCTION("""COMPUTED_VALUE"""),"Foundations of Working Capital Management")</f>
        <v>Foundations of Working Capital Management</v>
      </c>
      <c r="E10" s="147" t="str">
        <f>IFERROR(__xludf.DUMMYFUNCTION("""COMPUTED_VALUE"""),"Manager")</f>
        <v>Manager</v>
      </c>
      <c r="F10" s="141" t="str">
        <f>IFERROR(__xludf.DUMMYFUNCTION("""COMPUTED_VALUE"""),"Intermediate")</f>
        <v>Intermediate</v>
      </c>
      <c r="G10" s="143">
        <f>IFERROR(__xludf.DUMMYFUNCTION("""COMPUTED_VALUE"""),0.07369212962962964)</f>
        <v>0.07369212963</v>
      </c>
      <c r="H10" s="158" t="str">
        <f>IFERROR(__xludf.DUMMYFUNCTION("""COMPUTED_VALUE"""),"Become a Small Business Owner")</f>
        <v>Become a Small Business Owner</v>
      </c>
      <c r="I10" s="140"/>
      <c r="J10" s="140"/>
      <c r="K10" s="140"/>
      <c r="L10" s="147">
        <f>IFERROR(__xludf.DUMMYFUNCTION("""COMPUTED_VALUE"""),659268.0)</f>
        <v>659268</v>
      </c>
      <c r="M10" s="148" t="str">
        <f>IFERROR(__xludf.DUMMYFUNCTION("""COMPUTED_VALUE"""),"360-Degree Feedback")</f>
        <v>360-Degree Feedback</v>
      </c>
      <c r="N10" s="147" t="str">
        <f>IFERROR(__xludf.DUMMYFUNCTION("""COMPUTED_VALUE"""),"Senior Manager")</f>
        <v>Senior Manager</v>
      </c>
      <c r="O10" s="141" t="str">
        <f>IFERROR(__xludf.DUMMYFUNCTION("""COMPUTED_VALUE"""),"Intermediate")</f>
        <v>Intermediate</v>
      </c>
      <c r="P10" s="143">
        <f>IFERROR(__xludf.DUMMYFUNCTION("""COMPUTED_VALUE"""),0.021979166666666668)</f>
        <v>0.02197916667</v>
      </c>
      <c r="Q10" s="158" t="str">
        <f>IFERROR(__xludf.DUMMYFUNCTION("""COMPUTED_VALUE"""),"Build a More Equitable and Inclusive Workplace")</f>
        <v>Build a More Equitable and Inclusive Workplace</v>
      </c>
      <c r="R10" s="140"/>
      <c r="S10" s="140"/>
    </row>
    <row r="11" ht="33.75" customHeight="1">
      <c r="A11" s="140"/>
      <c r="B11" s="140"/>
      <c r="C11" s="147">
        <f>IFERROR(__xludf.DUMMYFUNCTION("""COMPUTED_VALUE"""),2849192.0)</f>
        <v>2849192</v>
      </c>
      <c r="D11" s="148" t="str">
        <f>IFERROR(__xludf.DUMMYFUNCTION("""COMPUTED_VALUE"""),"Job Interview Tips for Accountants")</f>
        <v>Job Interview Tips for Accountants</v>
      </c>
      <c r="E11" s="147" t="str">
        <f>IFERROR(__xludf.DUMMYFUNCTION("""COMPUTED_VALUE"""),"Individual Contributor")</f>
        <v>Individual Contributor</v>
      </c>
      <c r="F11" s="141" t="str">
        <f>IFERROR(__xludf.DUMMYFUNCTION("""COMPUTED_VALUE"""),"Beginner")</f>
        <v>Beginner</v>
      </c>
      <c r="G11" s="143">
        <f>IFERROR(__xludf.DUMMYFUNCTION("""COMPUTED_VALUE"""),0.029305555555555557)</f>
        <v>0.02930555556</v>
      </c>
      <c r="H11" s="149" t="str">
        <f>IFERROR(__xludf.DUMMYFUNCTION("""COMPUTED_VALUE"""),"Develop Your Finance and Accounting Skills")</f>
        <v>Develop Your Finance and Accounting Skills</v>
      </c>
      <c r="I11" s="140"/>
      <c r="J11" s="140"/>
      <c r="K11" s="140"/>
      <c r="L11" s="147">
        <f>IFERROR(__xludf.DUMMYFUNCTION("""COMPUTED_VALUE"""),756286.0)</f>
        <v>756286</v>
      </c>
      <c r="M11" s="148" t="str">
        <f>IFERROR(__xludf.DUMMYFUNCTION("""COMPUTED_VALUE"""),"HR and Digital Transformation")</f>
        <v>HR and Digital Transformation</v>
      </c>
      <c r="N11" s="147" t="str">
        <f>IFERROR(__xludf.DUMMYFUNCTION("""COMPUTED_VALUE"""),"Senior Manager")</f>
        <v>Senior Manager</v>
      </c>
      <c r="O11" s="141" t="str">
        <f>IFERROR(__xludf.DUMMYFUNCTION("""COMPUTED_VALUE"""),"Intermediate")</f>
        <v>Intermediate</v>
      </c>
      <c r="P11" s="143">
        <f>IFERROR(__xludf.DUMMYFUNCTION("""COMPUTED_VALUE"""),0.03916666666666667)</f>
        <v>0.03916666667</v>
      </c>
      <c r="Q11" s="149" t="str">
        <f>IFERROR(__xludf.DUMMYFUNCTION("""COMPUTED_VALUE"""),"Build Your Skills in Recruiting")</f>
        <v>Build Your Skills in Recruiting</v>
      </c>
      <c r="R11" s="140"/>
      <c r="S11" s="140"/>
    </row>
    <row r="12" ht="33.75" customHeight="1">
      <c r="A12" s="140"/>
      <c r="B12" s="140"/>
      <c r="C12" s="147">
        <f>IFERROR(__xludf.DUMMYFUNCTION("""COMPUTED_VALUE"""),2884193.0)</f>
        <v>2884193</v>
      </c>
      <c r="D12" s="148" t="str">
        <f>IFERROR(__xludf.DUMMYFUNCTION("""COMPUTED_VALUE"""),"S/4 Finance: Fiori Accounts Receivable Analytics")</f>
        <v>S/4 Finance: Fiori Accounts Receivable Analytics</v>
      </c>
      <c r="E12" s="147" t="str">
        <f>IFERROR(__xludf.DUMMYFUNCTION("""COMPUTED_VALUE"""),"Individual Contributor")</f>
        <v>Individual Contributor</v>
      </c>
      <c r="F12" s="141" t="str">
        <f>IFERROR(__xludf.DUMMYFUNCTION("""COMPUTED_VALUE"""),"Intermediate")</f>
        <v>Intermediate</v>
      </c>
      <c r="G12" s="143">
        <f>IFERROR(__xludf.DUMMYFUNCTION("""COMPUTED_VALUE"""),0.04142361111111111)</f>
        <v>0.04142361111</v>
      </c>
      <c r="H12" s="149" t="str">
        <f>IFERROR(__xludf.DUMMYFUNCTION("""COMPUTED_VALUE"""),"Get Ahead in the On-Demand Gig Economy")</f>
        <v>Get Ahead in the On-Demand Gig Economy</v>
      </c>
      <c r="I12" s="140"/>
      <c r="J12" s="140"/>
      <c r="K12" s="140"/>
      <c r="L12" s="147">
        <f>IFERROR(__xludf.DUMMYFUNCTION("""COMPUTED_VALUE"""),565364.0)</f>
        <v>565364</v>
      </c>
      <c r="M12" s="148" t="str">
        <f>IFERROR(__xludf.DUMMYFUNCTION("""COMPUTED_VALUE"""),"Managing New Managers")</f>
        <v>Managing New Managers</v>
      </c>
      <c r="N12" s="147" t="str">
        <f>IFERROR(__xludf.DUMMYFUNCTION("""COMPUTED_VALUE"""),"Senior Manager")</f>
        <v>Senior Manager</v>
      </c>
      <c r="O12" s="141" t="str">
        <f>IFERROR(__xludf.DUMMYFUNCTION("""COMPUTED_VALUE"""),"Intermediate")</f>
        <v>Intermediate</v>
      </c>
      <c r="P12" s="143">
        <f>IFERROR(__xludf.DUMMYFUNCTION("""COMPUTED_VALUE"""),0.01412037037037037)</f>
        <v>0.01412037037</v>
      </c>
      <c r="Q12" s="149" t="str">
        <f>IFERROR(__xludf.DUMMYFUNCTION("""COMPUTED_VALUE"""),"Develop Your HR Management and Leadership Skills")</f>
        <v>Develop Your HR Management and Leadership Skills</v>
      </c>
      <c r="R12" s="140"/>
      <c r="S12" s="140"/>
    </row>
    <row r="13" ht="33.75" customHeight="1">
      <c r="A13" s="140"/>
      <c r="B13" s="140"/>
      <c r="C13" s="147">
        <f>IFERROR(__xludf.DUMMYFUNCTION("""COMPUTED_VALUE"""),2887257.0)</f>
        <v>2887257</v>
      </c>
      <c r="D13" s="148" t="str">
        <f>IFERROR(__xludf.DUMMYFUNCTION("""COMPUTED_VALUE"""),"S/4 Finance: Fiori Accounts Payable Analytics")</f>
        <v>S/4 Finance: Fiori Accounts Payable Analytics</v>
      </c>
      <c r="E13" s="147" t="str">
        <f>IFERROR(__xludf.DUMMYFUNCTION("""COMPUTED_VALUE"""),"Individual Contributor")</f>
        <v>Individual Contributor</v>
      </c>
      <c r="F13" s="141" t="str">
        <f>IFERROR(__xludf.DUMMYFUNCTION("""COMPUTED_VALUE"""),"Intermediate")</f>
        <v>Intermediate</v>
      </c>
      <c r="G13" s="143">
        <f>IFERROR(__xludf.DUMMYFUNCTION("""COMPUTED_VALUE"""),0.040532407407407406)</f>
        <v>0.04053240741</v>
      </c>
      <c r="H13" s="158" t="str">
        <f>IFERROR(__xludf.DUMMYFUNCTION("""COMPUTED_VALUE"""),"Stay Ahead in Personal Finance")</f>
        <v>Stay Ahead in Personal Finance</v>
      </c>
      <c r="I13" s="140"/>
      <c r="J13" s="140"/>
      <c r="K13" s="140"/>
      <c r="L13" s="147">
        <f>IFERROR(__xludf.DUMMYFUNCTION("""COMPUTED_VALUE"""),2893047.0)</f>
        <v>2893047</v>
      </c>
      <c r="M13" s="148" t="str">
        <f>IFERROR(__xludf.DUMMYFUNCTION("""COMPUTED_VALUE"""),"HR Leadership as We Move Back into the Office")</f>
        <v>HR Leadership as We Move Back into the Office</v>
      </c>
      <c r="N13" s="147" t="str">
        <f>IFERROR(__xludf.DUMMYFUNCTION("""COMPUTED_VALUE"""),"Senior Manager")</f>
        <v>Senior Manager</v>
      </c>
      <c r="O13" s="141" t="str">
        <f>IFERROR(__xludf.DUMMYFUNCTION("""COMPUTED_VALUE"""),"Intermediate")</f>
        <v>Intermediate</v>
      </c>
      <c r="P13" s="143">
        <f>IFERROR(__xludf.DUMMYFUNCTION("""COMPUTED_VALUE"""),0.02273148148148148)</f>
        <v>0.02273148148</v>
      </c>
      <c r="Q13" s="158" t="str">
        <f>IFERROR(__xludf.DUMMYFUNCTION("""COMPUTED_VALUE"""),"Diversity, Inclusion, and Belonging for HR Professionals and Leaders")</f>
        <v>Diversity, Inclusion, and Belonging for HR Professionals and Leaders</v>
      </c>
      <c r="R13" s="140"/>
      <c r="S13" s="140"/>
    </row>
    <row r="14" ht="33.75" customHeight="1">
      <c r="A14" s="140"/>
      <c r="B14" s="140"/>
      <c r="C14" s="147">
        <f>IFERROR(__xludf.DUMMYFUNCTION("""COMPUTED_VALUE"""),3129469.0)</f>
        <v>3129469</v>
      </c>
      <c r="D14" s="148" t="str">
        <f>IFERROR(__xludf.DUMMYFUNCTION("""COMPUTED_VALUE"""),"Advanced Bookkeeping Techniques")</f>
        <v>Advanced Bookkeeping Techniques</v>
      </c>
      <c r="E14" s="147" t="str">
        <f>IFERROR(__xludf.DUMMYFUNCTION("""COMPUTED_VALUE"""),"Individual Contributor")</f>
        <v>Individual Contributor</v>
      </c>
      <c r="F14" s="141" t="str">
        <f>IFERROR(__xludf.DUMMYFUNCTION("""COMPUTED_VALUE"""),"Intermediate")</f>
        <v>Intermediate</v>
      </c>
      <c r="G14" s="143">
        <f>IFERROR(__xludf.DUMMYFUNCTION("""COMPUTED_VALUE"""),0.06930555555555555)</f>
        <v>0.06930555556</v>
      </c>
      <c r="H14" s="151"/>
      <c r="I14" s="140"/>
      <c r="J14" s="140"/>
      <c r="K14" s="140"/>
      <c r="L14" s="147">
        <f>IFERROR(__xludf.DUMMYFUNCTION("""COMPUTED_VALUE"""),2881199.0)</f>
        <v>2881199</v>
      </c>
      <c r="M14" s="148" t="str">
        <f>IFERROR(__xludf.DUMMYFUNCTION("""COMPUTED_VALUE"""),"Finding and Retaining High Potentials")</f>
        <v>Finding and Retaining High Potentials</v>
      </c>
      <c r="N14" s="147" t="str">
        <f>IFERROR(__xludf.DUMMYFUNCTION("""COMPUTED_VALUE"""),"Senior Manager")</f>
        <v>Senior Manager</v>
      </c>
      <c r="O14" s="141" t="str">
        <f>IFERROR(__xludf.DUMMYFUNCTION("""COMPUTED_VALUE"""),"Intermediate")</f>
        <v>Intermediate</v>
      </c>
      <c r="P14" s="143">
        <f>IFERROR(__xludf.DUMMYFUNCTION("""COMPUTED_VALUE"""),0.029502314814814815)</f>
        <v>0.02950231481</v>
      </c>
      <c r="Q14" s="149" t="str">
        <f>IFERROR(__xludf.DUMMYFUNCTION("""COMPUTED_VALUE"""),"Finding and Retaining Talent")</f>
        <v>Finding and Retaining Talent</v>
      </c>
      <c r="R14" s="140"/>
      <c r="S14" s="140"/>
    </row>
    <row r="15" ht="33.75" customHeight="1">
      <c r="A15" s="140"/>
      <c r="B15" s="140"/>
      <c r="C15" s="147">
        <f>IFERROR(__xludf.DUMMYFUNCTION("""COMPUTED_VALUE"""),765310.0)</f>
        <v>765310</v>
      </c>
      <c r="D15" s="148" t="str">
        <f>IFERROR(__xludf.DUMMYFUNCTION("""COMPUTED_VALUE"""),"Focusing on the Bottom Line as an Employee")</f>
        <v>Focusing on the Bottom Line as an Employee</v>
      </c>
      <c r="E15" s="147" t="str">
        <f>IFERROR(__xludf.DUMMYFUNCTION("""COMPUTED_VALUE"""),"Individual Contributor")</f>
        <v>Individual Contributor</v>
      </c>
      <c r="F15" s="141" t="str">
        <f>IFERROR(__xludf.DUMMYFUNCTION("""COMPUTED_VALUE"""),"General")</f>
        <v>General</v>
      </c>
      <c r="G15" s="143">
        <f>IFERROR(__xludf.DUMMYFUNCTION("""COMPUTED_VALUE"""),0.028333333333333332)</f>
        <v>0.02833333333</v>
      </c>
      <c r="H15" s="151"/>
      <c r="I15" s="140"/>
      <c r="J15" s="140"/>
      <c r="K15" s="140"/>
      <c r="L15" s="147">
        <f>IFERROR(__xludf.DUMMYFUNCTION("""COMPUTED_VALUE"""),2891028.0)</f>
        <v>2891028</v>
      </c>
      <c r="M15" s="148" t="str">
        <f>IFERROR(__xludf.DUMMYFUNCTION("""COMPUTED_VALUE"""),"HR: Providing Flexible Work Options")</f>
        <v>HR: Providing Flexible Work Options</v>
      </c>
      <c r="N15" s="147" t="str">
        <f>IFERROR(__xludf.DUMMYFUNCTION("""COMPUTED_VALUE"""),"Senior Manager")</f>
        <v>Senior Manager</v>
      </c>
      <c r="O15" s="141" t="str">
        <f>IFERROR(__xludf.DUMMYFUNCTION("""COMPUTED_VALUE"""),"Intermediate")</f>
        <v>Intermediate</v>
      </c>
      <c r="P15" s="143">
        <f>IFERROR(__xludf.DUMMYFUNCTION("""COMPUTED_VALUE"""),0.02528935185185185)</f>
        <v>0.02528935185</v>
      </c>
      <c r="Q15" s="151"/>
      <c r="R15" s="140"/>
      <c r="S15" s="140"/>
    </row>
    <row r="16" ht="33.75" customHeight="1">
      <c r="A16" s="140"/>
      <c r="B16" s="140"/>
      <c r="C16" s="147">
        <f>IFERROR(__xludf.DUMMYFUNCTION("""COMPUTED_VALUE"""),664827.0)</f>
        <v>664827</v>
      </c>
      <c r="D16" s="148" t="str">
        <f>IFERROR(__xludf.DUMMYFUNCTION("""COMPUTED_VALUE"""),"Business Analytics: Forecasting with Exponential Smoothing")</f>
        <v>Business Analytics: Forecasting with Exponential Smoothing</v>
      </c>
      <c r="E16" s="147" t="str">
        <f>IFERROR(__xludf.DUMMYFUNCTION("""COMPUTED_VALUE"""),"General")</f>
        <v>General</v>
      </c>
      <c r="F16" s="141" t="str">
        <f>IFERROR(__xludf.DUMMYFUNCTION("""COMPUTED_VALUE"""),"Advanced")</f>
        <v>Advanced</v>
      </c>
      <c r="G16" s="143">
        <f>IFERROR(__xludf.DUMMYFUNCTION("""COMPUTED_VALUE"""),0.04528935185185185)</f>
        <v>0.04528935185</v>
      </c>
      <c r="H16" s="151"/>
      <c r="I16" s="140"/>
      <c r="J16" s="140"/>
      <c r="K16" s="140"/>
      <c r="L16" s="147">
        <f>IFERROR(__xludf.DUMMYFUNCTION("""COMPUTED_VALUE"""),570964.0)</f>
        <v>570964</v>
      </c>
      <c r="M16" s="148" t="str">
        <f>IFERROR(__xludf.DUMMYFUNCTION("""COMPUTED_VALUE"""),"Employee Engagement")</f>
        <v>Employee Engagement</v>
      </c>
      <c r="N16" s="147" t="str">
        <f>IFERROR(__xludf.DUMMYFUNCTION("""COMPUTED_VALUE"""),"Senior Manager")</f>
        <v>Senior Manager</v>
      </c>
      <c r="O16" s="141" t="str">
        <f>IFERROR(__xludf.DUMMYFUNCTION("""COMPUTED_VALUE"""),"Advanced")</f>
        <v>Advanced</v>
      </c>
      <c r="P16" s="143">
        <f>IFERROR(__xludf.DUMMYFUNCTION("""COMPUTED_VALUE"""),0.05741898148148148)</f>
        <v>0.05741898148</v>
      </c>
      <c r="Q16" s="151"/>
      <c r="R16" s="140"/>
      <c r="S16" s="140"/>
    </row>
    <row r="17" ht="33.75" customHeight="1">
      <c r="A17" s="140"/>
      <c r="B17" s="140"/>
      <c r="C17" s="147">
        <f>IFERROR(__xludf.DUMMYFUNCTION("""COMPUTED_VALUE"""),728402.0)</f>
        <v>728402</v>
      </c>
      <c r="D17" s="148" t="str">
        <f>IFERROR(__xludf.DUMMYFUNCTION("""COMPUTED_VALUE"""),"Business Analytics: Forecasting with Seasonal Baseline Smoothing")</f>
        <v>Business Analytics: Forecasting with Seasonal Baseline Smoothing</v>
      </c>
      <c r="E17" s="147" t="str">
        <f>IFERROR(__xludf.DUMMYFUNCTION("""COMPUTED_VALUE"""),"General")</f>
        <v>General</v>
      </c>
      <c r="F17" s="141" t="str">
        <f>IFERROR(__xludf.DUMMYFUNCTION("""COMPUTED_VALUE"""),"Advanced")</f>
        <v>Advanced</v>
      </c>
      <c r="G17" s="143">
        <f>IFERROR(__xludf.DUMMYFUNCTION("""COMPUTED_VALUE"""),0.034479166666666665)</f>
        <v>0.03447916667</v>
      </c>
      <c r="H17" s="151"/>
      <c r="I17" s="140"/>
      <c r="J17" s="140"/>
      <c r="K17" s="140"/>
      <c r="L17" s="147">
        <f>IFERROR(__xludf.DUMMYFUNCTION("""COMPUTED_VALUE"""),659275.0)</f>
        <v>659275</v>
      </c>
      <c r="M17" s="148" t="str">
        <f>IFERROR(__xludf.DUMMYFUNCTION("""COMPUTED_VALUE"""),"Human Resources: Building a Performance Management System")</f>
        <v>Human Resources: Building a Performance Management System</v>
      </c>
      <c r="N17" s="147" t="str">
        <f>IFERROR(__xludf.DUMMYFUNCTION("""COMPUTED_VALUE"""),"Senior Manager")</f>
        <v>Senior Manager</v>
      </c>
      <c r="O17" s="141" t="str">
        <f>IFERROR(__xludf.DUMMYFUNCTION("""COMPUTED_VALUE"""),"Advanced")</f>
        <v>Advanced</v>
      </c>
      <c r="P17" s="143">
        <f>IFERROR(__xludf.DUMMYFUNCTION("""COMPUTED_VALUE"""),0.03670138888888889)</f>
        <v>0.03670138889</v>
      </c>
      <c r="Q17" s="151"/>
      <c r="R17" s="140"/>
      <c r="S17" s="140"/>
    </row>
    <row r="18" ht="33.75" customHeight="1">
      <c r="A18" s="140"/>
      <c r="B18" s="140"/>
      <c r="C18" s="147">
        <f>IFERROR(__xludf.DUMMYFUNCTION("""COMPUTED_VALUE"""),728374.0)</f>
        <v>728374</v>
      </c>
      <c r="D18" s="148" t="str">
        <f>IFERROR(__xludf.DUMMYFUNCTION("""COMPUTED_VALUE"""),"Business Intelligence for Consultants")</f>
        <v>Business Intelligence for Consultants</v>
      </c>
      <c r="E18" s="147" t="str">
        <f>IFERROR(__xludf.DUMMYFUNCTION("""COMPUTED_VALUE"""),"General")</f>
        <v>General</v>
      </c>
      <c r="F18" s="141" t="str">
        <f>IFERROR(__xludf.DUMMYFUNCTION("""COMPUTED_VALUE"""),"Advanced")</f>
        <v>Advanced</v>
      </c>
      <c r="G18" s="143">
        <f>IFERROR(__xludf.DUMMYFUNCTION("""COMPUTED_VALUE"""),0.020775462962962964)</f>
        <v>0.02077546296</v>
      </c>
      <c r="H18" s="151"/>
      <c r="I18" s="140"/>
      <c r="J18" s="140"/>
      <c r="K18" s="140"/>
      <c r="L18" s="147">
        <f>IFERROR(__xludf.DUMMYFUNCTION("""COMPUTED_VALUE"""),2975163.0)</f>
        <v>2975163</v>
      </c>
      <c r="M18" s="148" t="str">
        <f>IFERROR(__xludf.DUMMYFUNCTION("""COMPUTED_VALUE"""),"Crisis Communication for HR")</f>
        <v>Crisis Communication for HR</v>
      </c>
      <c r="N18" s="147" t="str">
        <f>IFERROR(__xludf.DUMMYFUNCTION("""COMPUTED_VALUE"""),"Senior Manager")</f>
        <v>Senior Manager</v>
      </c>
      <c r="O18" s="141" t="str">
        <f>IFERROR(__xludf.DUMMYFUNCTION("""COMPUTED_VALUE"""),"Advanced")</f>
        <v>Advanced</v>
      </c>
      <c r="P18" s="143">
        <f>IFERROR(__xludf.DUMMYFUNCTION("""COMPUTED_VALUE"""),0.020300925925925927)</f>
        <v>0.02030092593</v>
      </c>
      <c r="Q18" s="151"/>
      <c r="R18" s="140"/>
      <c r="S18" s="140"/>
    </row>
    <row r="19" ht="33.75" customHeight="1">
      <c r="A19" s="140"/>
      <c r="B19" s="140"/>
      <c r="C19" s="147">
        <f>IFERROR(__xludf.DUMMYFUNCTION("""COMPUTED_VALUE"""),2823067.0)</f>
        <v>2823067</v>
      </c>
      <c r="D19" s="148" t="str">
        <f>IFERROR(__xludf.DUMMYFUNCTION("""COMPUTED_VALUE"""),"Accounting Foundations: Asset Impairment")</f>
        <v>Accounting Foundations: Asset Impairment</v>
      </c>
      <c r="E19" s="147" t="str">
        <f>IFERROR(__xludf.DUMMYFUNCTION("""COMPUTED_VALUE"""),"General")</f>
        <v>General</v>
      </c>
      <c r="F19" s="141" t="str">
        <f>IFERROR(__xludf.DUMMYFUNCTION("""COMPUTED_VALUE"""),"Advanced")</f>
        <v>Advanced</v>
      </c>
      <c r="G19" s="143">
        <f>IFERROR(__xludf.DUMMYFUNCTION("""COMPUTED_VALUE"""),0.061921296296296294)</f>
        <v>0.0619212963</v>
      </c>
      <c r="H19" s="151"/>
      <c r="I19" s="140"/>
      <c r="J19" s="140"/>
      <c r="K19" s="140"/>
      <c r="L19" s="147">
        <f>IFERROR(__xludf.DUMMYFUNCTION("""COMPUTED_VALUE"""),2887263.0)</f>
        <v>2887263</v>
      </c>
      <c r="M19" s="148" t="str">
        <f>IFERROR(__xludf.DUMMYFUNCTION("""COMPUTED_VALUE"""),"Planning for Your Hybrid Organization")</f>
        <v>Planning for Your Hybrid Organization</v>
      </c>
      <c r="N19" s="147" t="str">
        <f>IFERROR(__xludf.DUMMYFUNCTION("""COMPUTED_VALUE"""),"Senior Manager")</f>
        <v>Senior Manager</v>
      </c>
      <c r="O19" s="141" t="str">
        <f>IFERROR(__xludf.DUMMYFUNCTION("""COMPUTED_VALUE"""),"Advanced")</f>
        <v>Advanced</v>
      </c>
      <c r="P19" s="143">
        <f>IFERROR(__xludf.DUMMYFUNCTION("""COMPUTED_VALUE"""),0.017569444444444443)</f>
        <v>0.01756944444</v>
      </c>
      <c r="Q19" s="151"/>
      <c r="R19" s="140"/>
      <c r="S19" s="140"/>
    </row>
    <row r="20" ht="33.75" customHeight="1">
      <c r="A20" s="140"/>
      <c r="B20" s="140"/>
      <c r="C20" s="147">
        <f>IFERROR(__xludf.DUMMYFUNCTION("""COMPUTED_VALUE"""),2848324.0)</f>
        <v>2848324</v>
      </c>
      <c r="D20" s="148" t="str">
        <f>IFERROR(__xludf.DUMMYFUNCTION("""COMPUTED_VALUE"""),"Financial Adulting")</f>
        <v>Financial Adulting</v>
      </c>
      <c r="E20" s="147" t="str">
        <f>IFERROR(__xludf.DUMMYFUNCTION("""COMPUTED_VALUE"""),"General")</f>
        <v>General</v>
      </c>
      <c r="F20" s="141" t="str">
        <f>IFERROR(__xludf.DUMMYFUNCTION("""COMPUTED_VALUE"""),"Beginner")</f>
        <v>Beginner</v>
      </c>
      <c r="G20" s="143">
        <f>IFERROR(__xludf.DUMMYFUNCTION("""COMPUTED_VALUE"""),0.04173611111111111)</f>
        <v>0.04173611111</v>
      </c>
      <c r="H20" s="151"/>
      <c r="I20" s="140"/>
      <c r="J20" s="140"/>
      <c r="K20" s="140"/>
      <c r="L20" s="147">
        <f>IFERROR(__xludf.DUMMYFUNCTION("""COMPUTED_VALUE"""),2819029.0)</f>
        <v>2819029</v>
      </c>
      <c r="M20" s="148" t="str">
        <f>IFERROR(__xludf.DUMMYFUNCTION("""COMPUTED_VALUE"""),"Onboarding New Hires as a Manager")</f>
        <v>Onboarding New Hires as a Manager</v>
      </c>
      <c r="N20" s="147" t="str">
        <f>IFERROR(__xludf.DUMMYFUNCTION("""COMPUTED_VALUE"""),"Manager")</f>
        <v>Manager</v>
      </c>
      <c r="O20" s="141" t="str">
        <f>IFERROR(__xludf.DUMMYFUNCTION("""COMPUTED_VALUE"""),"Beginner")</f>
        <v>Beginner</v>
      </c>
      <c r="P20" s="143">
        <f>IFERROR(__xludf.DUMMYFUNCTION("""COMPUTED_VALUE"""),0.022256944444444444)</f>
        <v>0.02225694444</v>
      </c>
      <c r="Q20" s="151"/>
      <c r="R20" s="140"/>
      <c r="S20" s="140"/>
    </row>
    <row r="21" ht="33.75" customHeight="1">
      <c r="A21" s="140"/>
      <c r="B21" s="140"/>
      <c r="C21" s="147">
        <f>IFERROR(__xludf.DUMMYFUNCTION("""COMPUTED_VALUE"""),2849263.0)</f>
        <v>2849263</v>
      </c>
      <c r="D21" s="148" t="str">
        <f>IFERROR(__xludf.DUMMYFUNCTION("""COMPUTED_VALUE"""),"SAP ERP Essential Training")</f>
        <v>SAP ERP Essential Training</v>
      </c>
      <c r="E21" s="147" t="str">
        <f>IFERROR(__xludf.DUMMYFUNCTION("""COMPUTED_VALUE"""),"General")</f>
        <v>General</v>
      </c>
      <c r="F21" s="141" t="str">
        <f>IFERROR(__xludf.DUMMYFUNCTION("""COMPUTED_VALUE"""),"Beginner")</f>
        <v>Beginner</v>
      </c>
      <c r="G21" s="143">
        <f>IFERROR(__xludf.DUMMYFUNCTION("""COMPUTED_VALUE"""),0.06336805555555555)</f>
        <v>0.06336805556</v>
      </c>
      <c r="H21" s="151"/>
      <c r="I21" s="140"/>
      <c r="J21" s="140"/>
      <c r="K21" s="140"/>
      <c r="L21" s="147">
        <f>IFERROR(__xludf.DUMMYFUNCTION("""COMPUTED_VALUE"""),184803.0)</f>
        <v>184803</v>
      </c>
      <c r="M21" s="148" t="str">
        <f>IFERROR(__xludf.DUMMYFUNCTION("""COMPUTED_VALUE"""),"Nonprofit Management Foundations")</f>
        <v>Nonprofit Management Foundations</v>
      </c>
      <c r="N21" s="147" t="str">
        <f>IFERROR(__xludf.DUMMYFUNCTION("""COMPUTED_VALUE"""),"Manager")</f>
        <v>Manager</v>
      </c>
      <c r="O21" s="141" t="str">
        <f>IFERROR(__xludf.DUMMYFUNCTION("""COMPUTED_VALUE"""),"Beginner")</f>
        <v>Beginner</v>
      </c>
      <c r="P21" s="143">
        <f>IFERROR(__xludf.DUMMYFUNCTION("""COMPUTED_VALUE"""),0.10337962962962963)</f>
        <v>0.1033796296</v>
      </c>
      <c r="Q21" s="151"/>
      <c r="R21" s="140"/>
      <c r="S21" s="140"/>
    </row>
    <row r="22" ht="33.75" customHeight="1">
      <c r="A22" s="140"/>
      <c r="B22" s="140"/>
      <c r="C22" s="147">
        <f>IFERROR(__xludf.DUMMYFUNCTION("""COMPUTED_VALUE"""),777378.0)</f>
        <v>777378</v>
      </c>
      <c r="D22" s="148" t="str">
        <f>IFERROR(__xludf.DUMMYFUNCTION("""COMPUTED_VALUE"""),"Accounting Foundations")</f>
        <v>Accounting Foundations</v>
      </c>
      <c r="E22" s="147" t="str">
        <f>IFERROR(__xludf.DUMMYFUNCTION("""COMPUTED_VALUE"""),"General")</f>
        <v>General</v>
      </c>
      <c r="F22" s="141" t="str">
        <f>IFERROR(__xludf.DUMMYFUNCTION("""COMPUTED_VALUE"""),"Beginner")</f>
        <v>Beginner</v>
      </c>
      <c r="G22" s="143">
        <f>IFERROR(__xludf.DUMMYFUNCTION("""COMPUTED_VALUE"""),0.08399305555555556)</f>
        <v>0.08399305556</v>
      </c>
      <c r="H22" s="151"/>
      <c r="I22" s="140"/>
      <c r="J22" s="140"/>
      <c r="K22" s="140"/>
      <c r="L22" s="147">
        <f>IFERROR(__xludf.DUMMYFUNCTION("""COMPUTED_VALUE"""),5034159.0)</f>
        <v>5034159</v>
      </c>
      <c r="M22" s="148" t="str">
        <f>IFERROR(__xludf.DUMMYFUNCTION("""COMPUTED_VALUE"""),"Hiring an Employee for Managers")</f>
        <v>Hiring an Employee for Managers</v>
      </c>
      <c r="N22" s="147" t="str">
        <f>IFERROR(__xludf.DUMMYFUNCTION("""COMPUTED_VALUE"""),"Manager")</f>
        <v>Manager</v>
      </c>
      <c r="O22" s="141" t="str">
        <f>IFERROR(__xludf.DUMMYFUNCTION("""COMPUTED_VALUE"""),"Beginner + Intermediate")</f>
        <v>Beginner + Intermediate</v>
      </c>
      <c r="P22" s="143">
        <f>IFERROR(__xludf.DUMMYFUNCTION("""COMPUTED_VALUE"""),0.027685185185185184)</f>
        <v>0.02768518519</v>
      </c>
      <c r="Q22" s="151"/>
      <c r="R22" s="140"/>
      <c r="S22" s="140"/>
    </row>
    <row r="23" ht="33.75" customHeight="1">
      <c r="A23" s="140"/>
      <c r="B23" s="140"/>
      <c r="C23" s="147">
        <f>IFERROR(__xludf.DUMMYFUNCTION("""COMPUTED_VALUE"""),779741.0)</f>
        <v>779741</v>
      </c>
      <c r="D23" s="148" t="str">
        <f>IFERROR(__xludf.DUMMYFUNCTION("""COMPUTED_VALUE"""),"Accounting Foundations: Bookkeeping")</f>
        <v>Accounting Foundations: Bookkeeping</v>
      </c>
      <c r="E23" s="147" t="str">
        <f>IFERROR(__xludf.DUMMYFUNCTION("""COMPUTED_VALUE"""),"General")</f>
        <v>General</v>
      </c>
      <c r="F23" s="141" t="str">
        <f>IFERROR(__xludf.DUMMYFUNCTION("""COMPUTED_VALUE"""),"Beginner")</f>
        <v>Beginner</v>
      </c>
      <c r="G23" s="143">
        <f>IFERROR(__xludf.DUMMYFUNCTION("""COMPUTED_VALUE"""),0.0693287037037037)</f>
        <v>0.0693287037</v>
      </c>
      <c r="H23" s="151"/>
      <c r="I23" s="140"/>
      <c r="J23" s="140"/>
      <c r="K23" s="140"/>
      <c r="L23" s="147">
        <f>IFERROR(__xludf.DUMMYFUNCTION("""COMPUTED_VALUE"""),664803.0)</f>
        <v>664803</v>
      </c>
      <c r="M23" s="148" t="str">
        <f>IFERROR(__xludf.DUMMYFUNCTION("""COMPUTED_VALUE"""),"Managing Temporary and Contract Employees")</f>
        <v>Managing Temporary and Contract Employees</v>
      </c>
      <c r="N23" s="147" t="str">
        <f>IFERROR(__xludf.DUMMYFUNCTION("""COMPUTED_VALUE"""),"Manager")</f>
        <v>Manager</v>
      </c>
      <c r="O23" s="141" t="str">
        <f>IFERROR(__xludf.DUMMYFUNCTION("""COMPUTED_VALUE"""),"Beginner + Intermediate")</f>
        <v>Beginner + Intermediate</v>
      </c>
      <c r="P23" s="143">
        <f>IFERROR(__xludf.DUMMYFUNCTION("""COMPUTED_VALUE"""),0.03516203703703704)</f>
        <v>0.03516203704</v>
      </c>
      <c r="Q23" s="151"/>
      <c r="R23" s="140"/>
      <c r="S23" s="140"/>
    </row>
    <row r="24" ht="33.75" customHeight="1">
      <c r="A24" s="140"/>
      <c r="B24" s="140"/>
      <c r="C24" s="147">
        <f>IFERROR(__xludf.DUMMYFUNCTION("""COMPUTED_VALUE"""),779742.0)</f>
        <v>779742</v>
      </c>
      <c r="D24" s="148" t="str">
        <f>IFERROR(__xludf.DUMMYFUNCTION("""COMPUTED_VALUE"""),"Accounting Foundations: Budgeting")</f>
        <v>Accounting Foundations: Budgeting</v>
      </c>
      <c r="E24" s="147" t="str">
        <f>IFERROR(__xludf.DUMMYFUNCTION("""COMPUTED_VALUE"""),"General")</f>
        <v>General</v>
      </c>
      <c r="F24" s="141" t="str">
        <f>IFERROR(__xludf.DUMMYFUNCTION("""COMPUTED_VALUE"""),"Beginner")</f>
        <v>Beginner</v>
      </c>
      <c r="G24" s="143">
        <f>IFERROR(__xludf.DUMMYFUNCTION("""COMPUTED_VALUE"""),0.06753472222222222)</f>
        <v>0.06753472222</v>
      </c>
      <c r="H24" s="151"/>
      <c r="I24" s="140"/>
      <c r="J24" s="140"/>
      <c r="K24" s="140"/>
      <c r="L24" s="147">
        <f>IFERROR(__xludf.DUMMYFUNCTION("""COMPUTED_VALUE"""),2841297.0)</f>
        <v>2841297</v>
      </c>
      <c r="M24" s="148" t="str">
        <f>IFERROR(__xludf.DUMMYFUNCTION("""COMPUTED_VALUE"""),"Virtual Interviewing for HR")</f>
        <v>Virtual Interviewing for HR</v>
      </c>
      <c r="N24" s="147" t="str">
        <f>IFERROR(__xludf.DUMMYFUNCTION("""COMPUTED_VALUE"""),"Manager")</f>
        <v>Manager</v>
      </c>
      <c r="O24" s="141" t="str">
        <f>IFERROR(__xludf.DUMMYFUNCTION("""COMPUTED_VALUE"""),"Intermediate")</f>
        <v>Intermediate</v>
      </c>
      <c r="P24" s="143">
        <f>IFERROR(__xludf.DUMMYFUNCTION("""COMPUTED_VALUE"""),0.03214120370370371)</f>
        <v>0.0321412037</v>
      </c>
      <c r="Q24" s="151"/>
      <c r="R24" s="140"/>
      <c r="S24" s="140"/>
    </row>
    <row r="25" ht="33.75" customHeight="1">
      <c r="A25" s="140"/>
      <c r="B25" s="140"/>
      <c r="C25" s="147">
        <f>IFERROR(__xludf.DUMMYFUNCTION("""COMPUTED_VALUE"""),699335.0)</f>
        <v>699335</v>
      </c>
      <c r="D25" s="148" t="str">
        <f>IFERROR(__xludf.DUMMYFUNCTION("""COMPUTED_VALUE"""),"Audit and Due Diligence Foundations")</f>
        <v>Audit and Due Diligence Foundations</v>
      </c>
      <c r="E25" s="147" t="str">
        <f>IFERROR(__xludf.DUMMYFUNCTION("""COMPUTED_VALUE"""),"General")</f>
        <v>General</v>
      </c>
      <c r="F25" s="141" t="str">
        <f>IFERROR(__xludf.DUMMYFUNCTION("""COMPUTED_VALUE"""),"Beginner")</f>
        <v>Beginner</v>
      </c>
      <c r="G25" s="143">
        <f>IFERROR(__xludf.DUMMYFUNCTION("""COMPUTED_VALUE"""),0.07378472222222222)</f>
        <v>0.07378472222</v>
      </c>
      <c r="H25" s="151"/>
      <c r="I25" s="140"/>
      <c r="J25" s="140"/>
      <c r="K25" s="140"/>
      <c r="L25" s="147">
        <f>IFERROR(__xludf.DUMMYFUNCTION("""COMPUTED_VALUE"""),601769.0)</f>
        <v>601769</v>
      </c>
      <c r="M25" s="148" t="str">
        <f>IFERROR(__xludf.DUMMYFUNCTION("""COMPUTED_VALUE"""),"Human Resources: Managing Employee Problems")</f>
        <v>Human Resources: Managing Employee Problems</v>
      </c>
      <c r="N25" s="147" t="str">
        <f>IFERROR(__xludf.DUMMYFUNCTION("""COMPUTED_VALUE"""),"Manager")</f>
        <v>Manager</v>
      </c>
      <c r="O25" s="141" t="str">
        <f>IFERROR(__xludf.DUMMYFUNCTION("""COMPUTED_VALUE"""),"Intermediate")</f>
        <v>Intermediate</v>
      </c>
      <c r="P25" s="143">
        <f>IFERROR(__xludf.DUMMYFUNCTION("""COMPUTED_VALUE"""),0.05277777777777778)</f>
        <v>0.05277777778</v>
      </c>
      <c r="Q25" s="151"/>
      <c r="R25" s="140"/>
      <c r="S25" s="140"/>
    </row>
    <row r="26" ht="33.75" customHeight="1">
      <c r="A26" s="140"/>
      <c r="B26" s="140"/>
      <c r="C26" s="147">
        <f>IFERROR(__xludf.DUMMYFUNCTION("""COMPUTED_VALUE"""),786356.0)</f>
        <v>786356</v>
      </c>
      <c r="D26" s="148" t="str">
        <f>IFERROR(__xludf.DUMMYFUNCTION("""COMPUTED_VALUE"""),"Business Tax Foundations")</f>
        <v>Business Tax Foundations</v>
      </c>
      <c r="E26" s="147" t="str">
        <f>IFERROR(__xludf.DUMMYFUNCTION("""COMPUTED_VALUE"""),"General")</f>
        <v>General</v>
      </c>
      <c r="F26" s="141" t="str">
        <f>IFERROR(__xludf.DUMMYFUNCTION("""COMPUTED_VALUE"""),"Beginner")</f>
        <v>Beginner</v>
      </c>
      <c r="G26" s="143">
        <f>IFERROR(__xludf.DUMMYFUNCTION("""COMPUTED_VALUE"""),0.07509259259259259)</f>
        <v>0.07509259259</v>
      </c>
      <c r="H26" s="151"/>
      <c r="I26" s="140"/>
      <c r="J26" s="140"/>
      <c r="K26" s="140"/>
      <c r="L26" s="147">
        <f>IFERROR(__xludf.DUMMYFUNCTION("""COMPUTED_VALUE"""),466170.0)</f>
        <v>466170</v>
      </c>
      <c r="M26" s="148" t="str">
        <f>IFERROR(__xludf.DUMMYFUNCTION("""COMPUTED_VALUE"""),"Hire, Retain, and Grow Top Millennial Talent")</f>
        <v>Hire, Retain, and Grow Top Millennial Talent</v>
      </c>
      <c r="N26" s="147" t="str">
        <f>IFERROR(__xludf.DUMMYFUNCTION("""COMPUTED_VALUE"""),"Manager")</f>
        <v>Manager</v>
      </c>
      <c r="O26" s="141" t="str">
        <f>IFERROR(__xludf.DUMMYFUNCTION("""COMPUTED_VALUE"""),"Intermediate")</f>
        <v>Intermediate</v>
      </c>
      <c r="P26" s="143">
        <f>IFERROR(__xludf.DUMMYFUNCTION("""COMPUTED_VALUE"""),0.03391203703703704)</f>
        <v>0.03391203704</v>
      </c>
      <c r="Q26" s="151"/>
      <c r="R26" s="140"/>
      <c r="S26" s="140"/>
    </row>
    <row r="27" ht="33.75" customHeight="1">
      <c r="A27" s="140"/>
      <c r="B27" s="140"/>
      <c r="C27" s="147">
        <f>IFERROR(__xludf.DUMMYFUNCTION("""COMPUTED_VALUE"""),777379.0)</f>
        <v>777379</v>
      </c>
      <c r="D27" s="148" t="str">
        <f>IFERROR(__xludf.DUMMYFUNCTION("""COMPUTED_VALUE"""),"Finance Foundations")</f>
        <v>Finance Foundations</v>
      </c>
      <c r="E27" s="147" t="str">
        <f>IFERROR(__xludf.DUMMYFUNCTION("""COMPUTED_VALUE"""),"General")</f>
        <v>General</v>
      </c>
      <c r="F27" s="141" t="str">
        <f>IFERROR(__xludf.DUMMYFUNCTION("""COMPUTED_VALUE"""),"Beginner")</f>
        <v>Beginner</v>
      </c>
      <c r="G27" s="143">
        <f>IFERROR(__xludf.DUMMYFUNCTION("""COMPUTED_VALUE"""),0.11116898148148148)</f>
        <v>0.1111689815</v>
      </c>
      <c r="H27" s="151"/>
      <c r="I27" s="140"/>
      <c r="J27" s="140"/>
      <c r="K27" s="140"/>
      <c r="L27" s="147">
        <f>IFERROR(__xludf.DUMMYFUNCTION("""COMPUTED_VALUE"""),2878236.0)</f>
        <v>2878236</v>
      </c>
      <c r="M27" s="148" t="str">
        <f>IFERROR(__xludf.DUMMYFUNCTION("""COMPUTED_VALUE"""),"Hiring and Supporting Neurodiversity in the Workplace")</f>
        <v>Hiring and Supporting Neurodiversity in the Workplace</v>
      </c>
      <c r="N27" s="147" t="str">
        <f>IFERROR(__xludf.DUMMYFUNCTION("""COMPUTED_VALUE"""),"Manager")</f>
        <v>Manager</v>
      </c>
      <c r="O27" s="141" t="str">
        <f>IFERROR(__xludf.DUMMYFUNCTION("""COMPUTED_VALUE"""),"Intermediate")</f>
        <v>Intermediate</v>
      </c>
      <c r="P27" s="143">
        <f>IFERROR(__xludf.DUMMYFUNCTION("""COMPUTED_VALUE"""),0.04393518518518519)</f>
        <v>0.04393518519</v>
      </c>
      <c r="Q27" s="151"/>
      <c r="R27" s="140"/>
      <c r="S27" s="140"/>
    </row>
    <row r="28" ht="33.75" customHeight="1">
      <c r="A28" s="140"/>
      <c r="B28" s="140"/>
      <c r="C28" s="147">
        <f>IFERROR(__xludf.DUMMYFUNCTION("""COMPUTED_VALUE"""),779740.0)</f>
        <v>779740</v>
      </c>
      <c r="D28" s="148" t="str">
        <f>IFERROR(__xludf.DUMMYFUNCTION("""COMPUTED_VALUE"""),"Finance Foundations: Income Taxes")</f>
        <v>Finance Foundations: Income Taxes</v>
      </c>
      <c r="E28" s="147" t="str">
        <f>IFERROR(__xludf.DUMMYFUNCTION("""COMPUTED_VALUE"""),"General")</f>
        <v>General</v>
      </c>
      <c r="F28" s="141" t="str">
        <f>IFERROR(__xludf.DUMMYFUNCTION("""COMPUTED_VALUE"""),"Beginner")</f>
        <v>Beginner</v>
      </c>
      <c r="G28" s="143">
        <f>IFERROR(__xludf.DUMMYFUNCTION("""COMPUTED_VALUE"""),0.0862962962962963)</f>
        <v>0.0862962963</v>
      </c>
      <c r="H28" s="151"/>
      <c r="I28" s="140"/>
      <c r="J28" s="140"/>
      <c r="K28" s="140"/>
      <c r="L28" s="147">
        <f>IFERROR(__xludf.DUMMYFUNCTION("""COMPUTED_VALUE"""),2894043.0)</f>
        <v>2894043</v>
      </c>
      <c r="M28" s="148" t="str">
        <f>IFERROR(__xludf.DUMMYFUNCTION("""COMPUTED_VALUE"""),"HR Communication in Today's Fluid Workplace")</f>
        <v>HR Communication in Today's Fluid Workplace</v>
      </c>
      <c r="N28" s="147" t="str">
        <f>IFERROR(__xludf.DUMMYFUNCTION("""COMPUTED_VALUE"""),"Manager")</f>
        <v>Manager</v>
      </c>
      <c r="O28" s="141" t="str">
        <f>IFERROR(__xludf.DUMMYFUNCTION("""COMPUTED_VALUE"""),"Intermediate")</f>
        <v>Intermediate</v>
      </c>
      <c r="P28" s="143">
        <f>IFERROR(__xludf.DUMMYFUNCTION("""COMPUTED_VALUE"""),0.023206018518518518)</f>
        <v>0.02320601852</v>
      </c>
      <c r="Q28" s="151"/>
      <c r="R28" s="140"/>
      <c r="S28" s="140"/>
    </row>
    <row r="29" ht="33.75" customHeight="1">
      <c r="A29" s="140"/>
      <c r="B29" s="140"/>
      <c r="C29" s="147">
        <f>IFERROR(__xludf.DUMMYFUNCTION("""COMPUTED_VALUE"""),174916.0)</f>
        <v>174916</v>
      </c>
      <c r="D29" s="148" t="str">
        <f>IFERROR(__xludf.DUMMYFUNCTION("""COMPUTED_VALUE"""),"Running a Profitable Business: Understanding Financial Ratios")</f>
        <v>Running a Profitable Business: Understanding Financial Ratios</v>
      </c>
      <c r="E29" s="147" t="str">
        <f>IFERROR(__xludf.DUMMYFUNCTION("""COMPUTED_VALUE"""),"General")</f>
        <v>General</v>
      </c>
      <c r="F29" s="141" t="str">
        <f>IFERROR(__xludf.DUMMYFUNCTION("""COMPUTED_VALUE"""),"Beginner")</f>
        <v>Beginner</v>
      </c>
      <c r="G29" s="143">
        <f>IFERROR(__xludf.DUMMYFUNCTION("""COMPUTED_VALUE"""),0.07571759259259259)</f>
        <v>0.07571759259</v>
      </c>
      <c r="H29" s="151"/>
      <c r="I29" s="140"/>
      <c r="J29" s="140"/>
      <c r="K29" s="140"/>
      <c r="L29" s="147">
        <f>IFERROR(__xludf.DUMMYFUNCTION("""COMPUTED_VALUE"""),3013243.0)</f>
        <v>3013243</v>
      </c>
      <c r="M29" s="148" t="str">
        <f>IFERROR(__xludf.DUMMYFUNCTION("""COMPUTED_VALUE"""),"HR Recruiting Communication Strategies to Attract and Retain Top Talent")</f>
        <v>HR Recruiting Communication Strategies to Attract and Retain Top Talent</v>
      </c>
      <c r="N29" s="147" t="str">
        <f>IFERROR(__xludf.DUMMYFUNCTION("""COMPUTED_VALUE"""),"Manager")</f>
        <v>Manager</v>
      </c>
      <c r="O29" s="141" t="str">
        <f>IFERROR(__xludf.DUMMYFUNCTION("""COMPUTED_VALUE"""),"Intermediate")</f>
        <v>Intermediate</v>
      </c>
      <c r="P29" s="143">
        <f>IFERROR(__xludf.DUMMYFUNCTION("""COMPUTED_VALUE"""),0.024814814814814814)</f>
        <v>0.02481481481</v>
      </c>
      <c r="Q29" s="151"/>
      <c r="R29" s="140"/>
      <c r="S29" s="140"/>
    </row>
    <row r="30" ht="33.75" customHeight="1">
      <c r="A30" s="140"/>
      <c r="B30" s="140"/>
      <c r="C30" s="147">
        <f>IFERROR(__xludf.DUMMYFUNCTION("""COMPUTED_VALUE"""),5038201.0)</f>
        <v>5038201</v>
      </c>
      <c r="D30" s="148" t="str">
        <f>IFERROR(__xludf.DUMMYFUNCTION("""COMPUTED_VALUE"""),"Teaching Your Kids About Finance")</f>
        <v>Teaching Your Kids About Finance</v>
      </c>
      <c r="E30" s="147" t="str">
        <f>IFERROR(__xludf.DUMMYFUNCTION("""COMPUTED_VALUE"""),"General")</f>
        <v>General</v>
      </c>
      <c r="F30" s="141" t="str">
        <f>IFERROR(__xludf.DUMMYFUNCTION("""COMPUTED_VALUE"""),"Beginner")</f>
        <v>Beginner</v>
      </c>
      <c r="G30" s="143">
        <f>IFERROR(__xludf.DUMMYFUNCTION("""COMPUTED_VALUE"""),0.026458333333333334)</f>
        <v>0.02645833333</v>
      </c>
      <c r="H30" s="151"/>
      <c r="I30" s="140"/>
      <c r="J30" s="140"/>
      <c r="K30" s="140"/>
      <c r="L30" s="147">
        <f>IFERROR(__xludf.DUMMYFUNCTION("""COMPUTED_VALUE"""),2424655.0)</f>
        <v>2424655</v>
      </c>
      <c r="M30" s="148" t="str">
        <f>IFERROR(__xludf.DUMMYFUNCTION("""COMPUTED_VALUE"""),"Performance Management: Employee Engagement")</f>
        <v>Performance Management: Employee Engagement</v>
      </c>
      <c r="N30" s="147" t="str">
        <f>IFERROR(__xludf.DUMMYFUNCTION("""COMPUTED_VALUE"""),"Manager")</f>
        <v>Manager</v>
      </c>
      <c r="O30" s="141" t="str">
        <f>IFERROR(__xludf.DUMMYFUNCTION("""COMPUTED_VALUE"""),"Intermediate")</f>
        <v>Intermediate</v>
      </c>
      <c r="P30" s="143">
        <f>IFERROR(__xludf.DUMMYFUNCTION("""COMPUTED_VALUE"""),0.05319444444444445)</f>
        <v>0.05319444444</v>
      </c>
      <c r="Q30" s="151"/>
      <c r="R30" s="140"/>
      <c r="S30" s="140"/>
    </row>
    <row r="31" ht="33.75" customHeight="1">
      <c r="A31" s="140"/>
      <c r="B31" s="140"/>
      <c r="C31" s="147">
        <f>IFERROR(__xludf.DUMMYFUNCTION("""COMPUTED_VALUE"""),5038202.0)</f>
        <v>5038202</v>
      </c>
      <c r="D31" s="148" t="str">
        <f>IFERROR(__xludf.DUMMYFUNCTION("""COMPUTED_VALUE"""),"Finance Foundations for Solopreneurs")</f>
        <v>Finance Foundations for Solopreneurs</v>
      </c>
      <c r="E31" s="147" t="str">
        <f>IFERROR(__xludf.DUMMYFUNCTION("""COMPUTED_VALUE"""),"General")</f>
        <v>General</v>
      </c>
      <c r="F31" s="141" t="str">
        <f>IFERROR(__xludf.DUMMYFUNCTION("""COMPUTED_VALUE"""),"Beginner")</f>
        <v>Beginner</v>
      </c>
      <c r="G31" s="143">
        <f>IFERROR(__xludf.DUMMYFUNCTION("""COMPUTED_VALUE"""),0.058888888888888886)</f>
        <v>0.05888888889</v>
      </c>
      <c r="H31" s="151"/>
      <c r="I31" s="140"/>
      <c r="J31" s="140"/>
      <c r="K31" s="140"/>
      <c r="L31" s="147">
        <f>IFERROR(__xludf.DUMMYFUNCTION("""COMPUTED_VALUE"""),2895002.0)</f>
        <v>2895002</v>
      </c>
      <c r="M31" s="148" t="str">
        <f>IFERROR(__xludf.DUMMYFUNCTION("""COMPUTED_VALUE"""),"People Success: Employee Assessments")</f>
        <v>People Success: Employee Assessments</v>
      </c>
      <c r="N31" s="147" t="str">
        <f>IFERROR(__xludf.DUMMYFUNCTION("""COMPUTED_VALUE"""),"Manager")</f>
        <v>Manager</v>
      </c>
      <c r="O31" s="141" t="str">
        <f>IFERROR(__xludf.DUMMYFUNCTION("""COMPUTED_VALUE"""),"Advanced")</f>
        <v>Advanced</v>
      </c>
      <c r="P31" s="143">
        <f>IFERROR(__xludf.DUMMYFUNCTION("""COMPUTED_VALUE"""),0.015289351851851853)</f>
        <v>0.01528935185</v>
      </c>
      <c r="Q31" s="151"/>
      <c r="R31" s="140"/>
      <c r="S31" s="140"/>
    </row>
    <row r="32" ht="33.75" customHeight="1">
      <c r="A32" s="140"/>
      <c r="B32" s="140"/>
      <c r="C32" s="147">
        <f>IFERROR(__xludf.DUMMYFUNCTION("""COMPUTED_VALUE"""),5043070.0)</f>
        <v>5043070</v>
      </c>
      <c r="D32" s="148" t="str">
        <f>IFERROR(__xludf.DUMMYFUNCTION("""COMPUTED_VALUE"""),"Understanding Capital Markets")</f>
        <v>Understanding Capital Markets</v>
      </c>
      <c r="E32" s="147" t="str">
        <f>IFERROR(__xludf.DUMMYFUNCTION("""COMPUTED_VALUE"""),"General")</f>
        <v>General</v>
      </c>
      <c r="F32" s="141" t="str">
        <f>IFERROR(__xludf.DUMMYFUNCTION("""COMPUTED_VALUE"""),"Beginner")</f>
        <v>Beginner</v>
      </c>
      <c r="G32" s="143">
        <f>IFERROR(__xludf.DUMMYFUNCTION("""COMPUTED_VALUE"""),0.10908564814814815)</f>
        <v>0.1090856481</v>
      </c>
      <c r="H32" s="151"/>
      <c r="I32" s="140"/>
      <c r="J32" s="140"/>
      <c r="K32" s="140"/>
      <c r="L32" s="147">
        <f>IFERROR(__xludf.DUMMYFUNCTION("""COMPUTED_VALUE"""),2817013.0)</f>
        <v>2817013</v>
      </c>
      <c r="M32" s="148" t="str">
        <f>IFERROR(__xludf.DUMMYFUNCTION("""COMPUTED_VALUE"""),"Letting an Employee Go")</f>
        <v>Letting an Employee Go</v>
      </c>
      <c r="N32" s="147" t="str">
        <f>IFERROR(__xludf.DUMMYFUNCTION("""COMPUTED_VALUE"""),"Manager")</f>
        <v>Manager</v>
      </c>
      <c r="O32" s="141" t="str">
        <f>IFERROR(__xludf.DUMMYFUNCTION("""COMPUTED_VALUE"""),"General")</f>
        <v>General</v>
      </c>
      <c r="P32" s="143">
        <f>IFERROR(__xludf.DUMMYFUNCTION("""COMPUTED_VALUE"""),0.03574074074074074)</f>
        <v>0.03574074074</v>
      </c>
      <c r="Q32" s="151"/>
      <c r="R32" s="140"/>
      <c r="S32" s="140"/>
    </row>
    <row r="33" ht="33.75" customHeight="1">
      <c r="A33" s="140"/>
      <c r="B33" s="140"/>
      <c r="C33" s="147">
        <f>IFERROR(__xludf.DUMMYFUNCTION("""COMPUTED_VALUE"""),5040386.0)</f>
        <v>5040386</v>
      </c>
      <c r="D33" s="148" t="str">
        <f>IFERROR(__xludf.DUMMYFUNCTION("""COMPUTED_VALUE"""),"How to Analyze a Wholesale Deal in Real Estate")</f>
        <v>How to Analyze a Wholesale Deal in Real Estate</v>
      </c>
      <c r="E33" s="147" t="str">
        <f>IFERROR(__xludf.DUMMYFUNCTION("""COMPUTED_VALUE"""),"General")</f>
        <v>General</v>
      </c>
      <c r="F33" s="141" t="str">
        <f>IFERROR(__xludf.DUMMYFUNCTION("""COMPUTED_VALUE"""),"Beginner")</f>
        <v>Beginner</v>
      </c>
      <c r="G33" s="143">
        <f>IFERROR(__xludf.DUMMYFUNCTION("""COMPUTED_VALUE"""),0.05047453703703704)</f>
        <v>0.05047453704</v>
      </c>
      <c r="H33" s="151"/>
      <c r="I33" s="140"/>
      <c r="J33" s="140"/>
      <c r="K33" s="140"/>
      <c r="L33" s="147">
        <f>IFERROR(__xludf.DUMMYFUNCTION("""COMPUTED_VALUE"""),2832011.0)</f>
        <v>2832011</v>
      </c>
      <c r="M33" s="148" t="str">
        <f>IFERROR(__xludf.DUMMYFUNCTION("""COMPUTED_VALUE"""),"Establishing Work from Home Policies")</f>
        <v>Establishing Work from Home Policies</v>
      </c>
      <c r="N33" s="147" t="str">
        <f>IFERROR(__xludf.DUMMYFUNCTION("""COMPUTED_VALUE"""),"Manager")</f>
        <v>Manager</v>
      </c>
      <c r="O33" s="141" t="str">
        <f>IFERROR(__xludf.DUMMYFUNCTION("""COMPUTED_VALUE"""),"General")</f>
        <v>General</v>
      </c>
      <c r="P33" s="143">
        <f>IFERROR(__xludf.DUMMYFUNCTION("""COMPUTED_VALUE"""),0.019479166666666665)</f>
        <v>0.01947916667</v>
      </c>
      <c r="Q33" s="151"/>
      <c r="R33" s="140"/>
      <c r="S33" s="140"/>
    </row>
    <row r="34" ht="33.75" customHeight="1">
      <c r="A34" s="140"/>
      <c r="B34" s="140"/>
      <c r="C34" s="147">
        <f>IFERROR(__xludf.DUMMYFUNCTION("""COMPUTED_VALUE"""),599602.0)</f>
        <v>599602</v>
      </c>
      <c r="D34" s="148" t="str">
        <f>IFERROR(__xludf.DUMMYFUNCTION("""COMPUTED_VALUE"""),"Consulting Foundations")</f>
        <v>Consulting Foundations</v>
      </c>
      <c r="E34" s="147" t="str">
        <f>IFERROR(__xludf.DUMMYFUNCTION("""COMPUTED_VALUE"""),"General")</f>
        <v>General</v>
      </c>
      <c r="F34" s="141" t="str">
        <f>IFERROR(__xludf.DUMMYFUNCTION("""COMPUTED_VALUE"""),"Beginner")</f>
        <v>Beginner</v>
      </c>
      <c r="G34" s="143">
        <f>IFERROR(__xludf.DUMMYFUNCTION("""COMPUTED_VALUE"""),0.06601851851851852)</f>
        <v>0.06601851852</v>
      </c>
      <c r="H34" s="151"/>
      <c r="I34" s="140"/>
      <c r="J34" s="140"/>
      <c r="K34" s="140"/>
      <c r="L34" s="147">
        <f>IFERROR(__xludf.DUMMYFUNCTION("""COMPUTED_VALUE"""),2880281.0)</f>
        <v>2880281</v>
      </c>
      <c r="M34" s="148" t="str">
        <f>IFERROR(__xludf.DUMMYFUNCTION("""COMPUTED_VALUE"""),"Tech Recruiting Foundations: 5 Waterfall, Agile, and DevOps for Recruiters")</f>
        <v>Tech Recruiting Foundations: 5 Waterfall, Agile, and DevOps for Recruiters</v>
      </c>
      <c r="N34" s="147" t="str">
        <f>IFERROR(__xludf.DUMMYFUNCTION("""COMPUTED_VALUE"""),"Individual Contributor")</f>
        <v>Individual Contributor</v>
      </c>
      <c r="O34" s="141" t="str">
        <f>IFERROR(__xludf.DUMMYFUNCTION("""COMPUTED_VALUE"""),"Beginner")</f>
        <v>Beginner</v>
      </c>
      <c r="P34" s="143">
        <f>IFERROR(__xludf.DUMMYFUNCTION("""COMPUTED_VALUE"""),0.022615740740740742)</f>
        <v>0.02261574074</v>
      </c>
      <c r="Q34" s="151"/>
      <c r="R34" s="140"/>
      <c r="S34" s="140"/>
    </row>
    <row r="35" ht="33.75" customHeight="1">
      <c r="A35" s="140"/>
      <c r="B35" s="140"/>
      <c r="C35" s="147">
        <f>IFERROR(__xludf.DUMMYFUNCTION("""COMPUTED_VALUE"""),718626.0)</f>
        <v>718626</v>
      </c>
      <c r="D35" s="148" t="str">
        <f>IFERROR(__xludf.DUMMYFUNCTION("""COMPUTED_VALUE"""),"Applying Agile MoSCoW Prioritization")</f>
        <v>Applying Agile MoSCoW Prioritization</v>
      </c>
      <c r="E35" s="147" t="str">
        <f>IFERROR(__xludf.DUMMYFUNCTION("""COMPUTED_VALUE"""),"General")</f>
        <v>General</v>
      </c>
      <c r="F35" s="141" t="str">
        <f>IFERROR(__xludf.DUMMYFUNCTION("""COMPUTED_VALUE"""),"Beginner")</f>
        <v>Beginner</v>
      </c>
      <c r="G35" s="143">
        <f>IFERROR(__xludf.DUMMYFUNCTION("""COMPUTED_VALUE"""),0.04082175925925926)</f>
        <v>0.04082175926</v>
      </c>
      <c r="H35" s="151"/>
      <c r="I35" s="140"/>
      <c r="J35" s="140"/>
      <c r="K35" s="140"/>
      <c r="L35" s="147">
        <f>IFERROR(__xludf.DUMMYFUNCTION("""COMPUTED_VALUE"""),2886307.0)</f>
        <v>2886307</v>
      </c>
      <c r="M35" s="148" t="str">
        <f>IFERROR(__xludf.DUMMYFUNCTION("""COMPUTED_VALUE"""),"Tech Recruiting Foundations: 4 Recruiting for the IT Department")</f>
        <v>Tech Recruiting Foundations: 4 Recruiting for the IT Department</v>
      </c>
      <c r="N35" s="147" t="str">
        <f>IFERROR(__xludf.DUMMYFUNCTION("""COMPUTED_VALUE"""),"Individual Contributor")</f>
        <v>Individual Contributor</v>
      </c>
      <c r="O35" s="141" t="str">
        <f>IFERROR(__xludf.DUMMYFUNCTION("""COMPUTED_VALUE"""),"Beginner")</f>
        <v>Beginner</v>
      </c>
      <c r="P35" s="143">
        <f>IFERROR(__xludf.DUMMYFUNCTION("""COMPUTED_VALUE"""),0.020648148148148148)</f>
        <v>0.02064814815</v>
      </c>
      <c r="Q35" s="151"/>
      <c r="R35" s="140"/>
      <c r="S35" s="140"/>
    </row>
    <row r="36" ht="33.75" customHeight="1">
      <c r="A36" s="140"/>
      <c r="B36" s="140"/>
      <c r="C36" s="147">
        <f>IFERROR(__xludf.DUMMYFUNCTION("""COMPUTED_VALUE"""),630615.0)</f>
        <v>630615</v>
      </c>
      <c r="D36" s="148" t="str">
        <f>IFERROR(__xludf.DUMMYFUNCTION("""COMPUTED_VALUE"""),"Picking the Right Chart for Your Data")</f>
        <v>Picking the Right Chart for Your Data</v>
      </c>
      <c r="E36" s="147" t="str">
        <f>IFERROR(__xludf.DUMMYFUNCTION("""COMPUTED_VALUE"""),"General")</f>
        <v>General</v>
      </c>
      <c r="F36" s="141" t="str">
        <f>IFERROR(__xludf.DUMMYFUNCTION("""COMPUTED_VALUE"""),"Beginner")</f>
        <v>Beginner</v>
      </c>
      <c r="G36" s="143">
        <f>IFERROR(__xludf.DUMMYFUNCTION("""COMPUTED_VALUE"""),0.05505787037037037)</f>
        <v>0.05505787037</v>
      </c>
      <c r="H36" s="151"/>
      <c r="I36" s="140"/>
      <c r="J36" s="140"/>
      <c r="K36" s="140"/>
      <c r="L36" s="147">
        <f>IFERROR(__xludf.DUMMYFUNCTION("""COMPUTED_VALUE"""),802827.0)</f>
        <v>802827</v>
      </c>
      <c r="M36" s="148" t="str">
        <f>IFERROR(__xludf.DUMMYFUNCTION("""COMPUTED_VALUE"""),"Handling Workplace Bullying")</f>
        <v>Handling Workplace Bullying</v>
      </c>
      <c r="N36" s="147" t="str">
        <f>IFERROR(__xludf.DUMMYFUNCTION("""COMPUTED_VALUE"""),"General")</f>
        <v>General</v>
      </c>
      <c r="O36" s="141" t="str">
        <f>IFERROR(__xludf.DUMMYFUNCTION("""COMPUTED_VALUE"""),"Beginner")</f>
        <v>Beginner</v>
      </c>
      <c r="P36" s="143">
        <f>IFERROR(__xludf.DUMMYFUNCTION("""COMPUTED_VALUE"""),0.029548611111111112)</f>
        <v>0.02954861111</v>
      </c>
      <c r="Q36" s="151"/>
      <c r="R36" s="140"/>
      <c r="S36" s="140"/>
    </row>
    <row r="37" ht="33.75" customHeight="1">
      <c r="A37" s="140"/>
      <c r="B37" s="140"/>
      <c r="C37" s="147">
        <f>IFERROR(__xludf.DUMMYFUNCTION("""COMPUTED_VALUE"""),2800330.0)</f>
        <v>2800330</v>
      </c>
      <c r="D37" s="148" t="str">
        <f>IFERROR(__xludf.DUMMYFUNCTION("""COMPUTED_VALUE"""),"Applying Managerial Accounting")</f>
        <v>Applying Managerial Accounting</v>
      </c>
      <c r="E37" s="147" t="str">
        <f>IFERROR(__xludf.DUMMYFUNCTION("""COMPUTED_VALUE"""),"General")</f>
        <v>General</v>
      </c>
      <c r="F37" s="141" t="str">
        <f>IFERROR(__xludf.DUMMYFUNCTION("""COMPUTED_VALUE"""),"Beginner")</f>
        <v>Beginner</v>
      </c>
      <c r="G37" s="143">
        <f>IFERROR(__xludf.DUMMYFUNCTION("""COMPUTED_VALUE"""),0.03116898148148148)</f>
        <v>0.03116898148</v>
      </c>
      <c r="H37" s="151"/>
      <c r="I37" s="140"/>
      <c r="J37" s="140"/>
      <c r="K37" s="140"/>
      <c r="L37" s="147">
        <f>IFERROR(__xludf.DUMMYFUNCTION("""COMPUTED_VALUE"""),191268.0)</f>
        <v>191268</v>
      </c>
      <c r="M37" s="148" t="str">
        <f>IFERROR(__xludf.DUMMYFUNCTION("""COMPUTED_VALUE"""),"Human Resources Foundations")</f>
        <v>Human Resources Foundations</v>
      </c>
      <c r="N37" s="147" t="str">
        <f>IFERROR(__xludf.DUMMYFUNCTION("""COMPUTED_VALUE"""),"General")</f>
        <v>General</v>
      </c>
      <c r="O37" s="141" t="str">
        <f>IFERROR(__xludf.DUMMYFUNCTION("""COMPUTED_VALUE"""),"Beginner")</f>
        <v>Beginner</v>
      </c>
      <c r="P37" s="143">
        <f>IFERROR(__xludf.DUMMYFUNCTION("""COMPUTED_VALUE"""),0.03273148148148148)</f>
        <v>0.03273148148</v>
      </c>
      <c r="Q37" s="151"/>
      <c r="R37" s="140"/>
      <c r="S37" s="140"/>
    </row>
    <row r="38" ht="33.75" customHeight="1">
      <c r="A38" s="140"/>
      <c r="B38" s="140"/>
      <c r="C38" s="147">
        <f>IFERROR(__xludf.DUMMYFUNCTION("""COMPUTED_VALUE"""),2812490.0)</f>
        <v>2812490</v>
      </c>
      <c r="D38" s="148" t="str">
        <f>IFERROR(__xludf.DUMMYFUNCTION("""COMPUTED_VALUE"""),"Corporate Finance Foundations")</f>
        <v>Corporate Finance Foundations</v>
      </c>
      <c r="E38" s="147" t="str">
        <f>IFERROR(__xludf.DUMMYFUNCTION("""COMPUTED_VALUE"""),"General")</f>
        <v>General</v>
      </c>
      <c r="F38" s="141" t="str">
        <f>IFERROR(__xludf.DUMMYFUNCTION("""COMPUTED_VALUE"""),"Beginner")</f>
        <v>Beginner</v>
      </c>
      <c r="G38" s="143">
        <f>IFERROR(__xludf.DUMMYFUNCTION("""COMPUTED_VALUE"""),0.06159722222222222)</f>
        <v>0.06159722222</v>
      </c>
      <c r="H38" s="151"/>
      <c r="I38" s="140"/>
      <c r="J38" s="140"/>
      <c r="K38" s="140"/>
      <c r="L38" s="147">
        <f>IFERROR(__xludf.DUMMYFUNCTION("""COMPUTED_VALUE"""),721920.0)</f>
        <v>721920</v>
      </c>
      <c r="M38" s="148" t="str">
        <f>IFERROR(__xludf.DUMMYFUNCTION("""COMPUTED_VALUE"""),"Human Resources: Protecting Confidentiality")</f>
        <v>Human Resources: Protecting Confidentiality</v>
      </c>
      <c r="N38" s="147" t="str">
        <f>IFERROR(__xludf.DUMMYFUNCTION("""COMPUTED_VALUE"""),"General")</f>
        <v>General</v>
      </c>
      <c r="O38" s="141" t="str">
        <f>IFERROR(__xludf.DUMMYFUNCTION("""COMPUTED_VALUE"""),"Beginner")</f>
        <v>Beginner</v>
      </c>
      <c r="P38" s="143">
        <f>IFERROR(__xludf.DUMMYFUNCTION("""COMPUTED_VALUE"""),0.03476851851851852)</f>
        <v>0.03476851852</v>
      </c>
      <c r="Q38" s="151"/>
      <c r="R38" s="140"/>
      <c r="S38" s="140"/>
    </row>
    <row r="39" ht="33.75" customHeight="1">
      <c r="A39" s="140"/>
      <c r="B39" s="140"/>
      <c r="C39" s="147">
        <f>IFERROR(__xludf.DUMMYFUNCTION("""COMPUTED_VALUE"""),2815106.0)</f>
        <v>2815106</v>
      </c>
      <c r="D39" s="148" t="str">
        <f>IFERROR(__xludf.DUMMYFUNCTION("""COMPUTED_VALUE"""),"Financial Accounting Foundations")</f>
        <v>Financial Accounting Foundations</v>
      </c>
      <c r="E39" s="147" t="str">
        <f>IFERROR(__xludf.DUMMYFUNCTION("""COMPUTED_VALUE"""),"General")</f>
        <v>General</v>
      </c>
      <c r="F39" s="141" t="str">
        <f>IFERROR(__xludf.DUMMYFUNCTION("""COMPUTED_VALUE"""),"Beginner")</f>
        <v>Beginner</v>
      </c>
      <c r="G39" s="143">
        <f>IFERROR(__xludf.DUMMYFUNCTION("""COMPUTED_VALUE"""),0.07592592592592592)</f>
        <v>0.07592592593</v>
      </c>
      <c r="H39" s="151"/>
      <c r="I39" s="140"/>
      <c r="J39" s="140"/>
      <c r="K39" s="140"/>
      <c r="L39" s="147">
        <f>IFERROR(__xludf.DUMMYFUNCTION("""COMPUTED_VALUE"""),794118.0)</f>
        <v>794118</v>
      </c>
      <c r="M39" s="148" t="str">
        <f>IFERROR(__xludf.DUMMYFUNCTION("""COMPUTED_VALUE"""),"Teaching Civility in the Workplace")</f>
        <v>Teaching Civility in the Workplace</v>
      </c>
      <c r="N39" s="147" t="str">
        <f>IFERROR(__xludf.DUMMYFUNCTION("""COMPUTED_VALUE"""),"General")</f>
        <v>General</v>
      </c>
      <c r="O39" s="141" t="str">
        <f>IFERROR(__xludf.DUMMYFUNCTION("""COMPUTED_VALUE"""),"Beginner")</f>
        <v>Beginner</v>
      </c>
      <c r="P39" s="143">
        <f>IFERROR(__xludf.DUMMYFUNCTION("""COMPUTED_VALUE"""),0.03491898148148148)</f>
        <v>0.03491898148</v>
      </c>
      <c r="Q39" s="151"/>
      <c r="R39" s="140"/>
      <c r="S39" s="140"/>
    </row>
    <row r="40" ht="33.75" customHeight="1">
      <c r="A40" s="140"/>
      <c r="B40" s="140"/>
      <c r="C40" s="147">
        <f>IFERROR(__xludf.DUMMYFUNCTION("""COMPUTED_VALUE"""),5043068.0)</f>
        <v>5043068</v>
      </c>
      <c r="D40" s="148" t="str">
        <f>IFERROR(__xludf.DUMMYFUNCTION("""COMPUTED_VALUE"""),"Behavioral Finance Foundations")</f>
        <v>Behavioral Finance Foundations</v>
      </c>
      <c r="E40" s="147" t="str">
        <f>IFERROR(__xludf.DUMMYFUNCTION("""COMPUTED_VALUE"""),"General")</f>
        <v>General</v>
      </c>
      <c r="F40" s="141" t="str">
        <f>IFERROR(__xludf.DUMMYFUNCTION("""COMPUTED_VALUE"""),"Beginner")</f>
        <v>Beginner</v>
      </c>
      <c r="G40" s="143">
        <f>IFERROR(__xludf.DUMMYFUNCTION("""COMPUTED_VALUE"""),0.08386574074074074)</f>
        <v>0.08386574074</v>
      </c>
      <c r="H40" s="151"/>
      <c r="I40" s="140"/>
      <c r="J40" s="140"/>
      <c r="K40" s="140"/>
      <c r="L40" s="147">
        <f>IFERROR(__xludf.DUMMYFUNCTION("""COMPUTED_VALUE"""),2805907.0)</f>
        <v>2805907</v>
      </c>
      <c r="M40" s="148" t="str">
        <f>IFERROR(__xludf.DUMMYFUNCTION("""COMPUTED_VALUE"""),"Women Transforming Tech: Finding Sponsors")</f>
        <v>Women Transforming Tech: Finding Sponsors</v>
      </c>
      <c r="N40" s="147" t="str">
        <f>IFERROR(__xludf.DUMMYFUNCTION("""COMPUTED_VALUE"""),"General")</f>
        <v>General</v>
      </c>
      <c r="O40" s="141" t="str">
        <f>IFERROR(__xludf.DUMMYFUNCTION("""COMPUTED_VALUE"""),"Beginner")</f>
        <v>Beginner</v>
      </c>
      <c r="P40" s="143">
        <f>IFERROR(__xludf.DUMMYFUNCTION("""COMPUTED_VALUE"""),0.00949074074074074)</f>
        <v>0.009490740741</v>
      </c>
      <c r="Q40" s="151"/>
      <c r="R40" s="140"/>
      <c r="S40" s="140"/>
    </row>
    <row r="41" ht="33.75" customHeight="1">
      <c r="A41" s="140"/>
      <c r="B41" s="140"/>
      <c r="C41" s="147">
        <f>IFERROR(__xludf.DUMMYFUNCTION("""COMPUTED_VALUE"""),2832047.0)</f>
        <v>2832047</v>
      </c>
      <c r="D41" s="148" t="str">
        <f>IFERROR(__xludf.DUMMYFUNCTION("""COMPUTED_VALUE"""),"Using the Time Value of Money to Make Financial Decisions")</f>
        <v>Using the Time Value of Money to Make Financial Decisions</v>
      </c>
      <c r="E41" s="147" t="str">
        <f>IFERROR(__xludf.DUMMYFUNCTION("""COMPUTED_VALUE"""),"General")</f>
        <v>General</v>
      </c>
      <c r="F41" s="141" t="str">
        <f>IFERROR(__xludf.DUMMYFUNCTION("""COMPUTED_VALUE"""),"Beginner")</f>
        <v>Beginner</v>
      </c>
      <c r="G41" s="143">
        <f>IFERROR(__xludf.DUMMYFUNCTION("""COMPUTED_VALUE"""),0.06723379629629629)</f>
        <v>0.0672337963</v>
      </c>
      <c r="H41" s="151"/>
      <c r="I41" s="140"/>
      <c r="J41" s="140"/>
      <c r="K41" s="140"/>
      <c r="L41" s="147">
        <f>IFERROR(__xludf.DUMMYFUNCTION("""COMPUTED_VALUE"""),2813256.0)</f>
        <v>2813256</v>
      </c>
      <c r="M41" s="148" t="str">
        <f>IFERROR(__xludf.DUMMYFUNCTION("""COMPUTED_VALUE"""),"Connecting with Your Millennial Manager")</f>
        <v>Connecting with Your Millennial Manager</v>
      </c>
      <c r="N41" s="147" t="str">
        <f>IFERROR(__xludf.DUMMYFUNCTION("""COMPUTED_VALUE"""),"General")</f>
        <v>General</v>
      </c>
      <c r="O41" s="141" t="str">
        <f>IFERROR(__xludf.DUMMYFUNCTION("""COMPUTED_VALUE"""),"Beginner")</f>
        <v>Beginner</v>
      </c>
      <c r="P41" s="143">
        <f>IFERROR(__xludf.DUMMYFUNCTION("""COMPUTED_VALUE"""),0.026412037037037036)</f>
        <v>0.02641203704</v>
      </c>
      <c r="Q41" s="151"/>
      <c r="R41" s="140"/>
      <c r="S41" s="140"/>
    </row>
    <row r="42" ht="33.75" customHeight="1">
      <c r="A42" s="140"/>
      <c r="B42" s="140"/>
      <c r="C42" s="147">
        <f>IFERROR(__xludf.DUMMYFUNCTION("""COMPUTED_VALUE"""),188211.0)</f>
        <v>188211</v>
      </c>
      <c r="D42" s="148" t="str">
        <f>IFERROR(__xludf.DUMMYFUNCTION("""COMPUTED_VALUE"""),"Finance Essentials for Small Business")</f>
        <v>Finance Essentials for Small Business</v>
      </c>
      <c r="E42" s="147" t="str">
        <f>IFERROR(__xludf.DUMMYFUNCTION("""COMPUTED_VALUE"""),"General")</f>
        <v>General</v>
      </c>
      <c r="F42" s="141" t="str">
        <f>IFERROR(__xludf.DUMMYFUNCTION("""COMPUTED_VALUE"""),"Beginner")</f>
        <v>Beginner</v>
      </c>
      <c r="G42" s="143">
        <f>IFERROR(__xludf.DUMMYFUNCTION("""COMPUTED_VALUE"""),0.03553240740740741)</f>
        <v>0.03553240741</v>
      </c>
      <c r="H42" s="151"/>
      <c r="I42" s="140"/>
      <c r="J42" s="140"/>
      <c r="K42" s="140"/>
      <c r="L42" s="147">
        <f>IFERROR(__xludf.DUMMYFUNCTION("""COMPUTED_VALUE"""),2823248.0)</f>
        <v>2823248</v>
      </c>
      <c r="M42" s="148" t="str">
        <f>IFERROR(__xludf.DUMMYFUNCTION("""COMPUTED_VALUE"""),"Introduction to Employee Relations")</f>
        <v>Introduction to Employee Relations</v>
      </c>
      <c r="N42" s="147" t="str">
        <f>IFERROR(__xludf.DUMMYFUNCTION("""COMPUTED_VALUE"""),"General")</f>
        <v>General</v>
      </c>
      <c r="O42" s="141" t="str">
        <f>IFERROR(__xludf.DUMMYFUNCTION("""COMPUTED_VALUE"""),"Beginner")</f>
        <v>Beginner</v>
      </c>
      <c r="P42" s="143">
        <f>IFERROR(__xludf.DUMMYFUNCTION("""COMPUTED_VALUE"""),0.035659722222222225)</f>
        <v>0.03565972222</v>
      </c>
      <c r="Q42" s="151"/>
      <c r="R42" s="140"/>
      <c r="S42" s="140"/>
    </row>
    <row r="43" ht="33.75" customHeight="1">
      <c r="A43" s="140"/>
      <c r="B43" s="140"/>
      <c r="C43" s="147">
        <f>IFERROR(__xludf.DUMMYFUNCTION("""COMPUTED_VALUE"""),2886049.0)</f>
        <v>2886049</v>
      </c>
      <c r="D43" s="148" t="str">
        <f>IFERROR(__xludf.DUMMYFUNCTION("""COMPUTED_VALUE"""),"Managing Your Personal Finances")</f>
        <v>Managing Your Personal Finances</v>
      </c>
      <c r="E43" s="147" t="str">
        <f>IFERROR(__xludf.DUMMYFUNCTION("""COMPUTED_VALUE"""),"General")</f>
        <v>General</v>
      </c>
      <c r="F43" s="141" t="str">
        <f>IFERROR(__xludf.DUMMYFUNCTION("""COMPUTED_VALUE"""),"Beginner")</f>
        <v>Beginner</v>
      </c>
      <c r="G43" s="143">
        <f>IFERROR(__xludf.DUMMYFUNCTION("""COMPUTED_VALUE"""),0.044641203703703704)</f>
        <v>0.0446412037</v>
      </c>
      <c r="H43" s="151"/>
      <c r="I43" s="140"/>
      <c r="J43" s="140"/>
      <c r="K43" s="140"/>
      <c r="L43" s="147">
        <f>IFERROR(__xludf.DUMMYFUNCTION("""COMPUTED_VALUE"""),2823138.0)</f>
        <v>2823138</v>
      </c>
      <c r="M43" s="148" t="str">
        <f>IFERROR(__xludf.DUMMYFUNCTION("""COMPUTED_VALUE"""),"Empathy Tips for HR Professionals")</f>
        <v>Empathy Tips for HR Professionals</v>
      </c>
      <c r="N43" s="147" t="str">
        <f>IFERROR(__xludf.DUMMYFUNCTION("""COMPUTED_VALUE"""),"General")</f>
        <v>General</v>
      </c>
      <c r="O43" s="141" t="str">
        <f>IFERROR(__xludf.DUMMYFUNCTION("""COMPUTED_VALUE"""),"Beginner")</f>
        <v>Beginner</v>
      </c>
      <c r="P43" s="143">
        <f>IFERROR(__xludf.DUMMYFUNCTION("""COMPUTED_VALUE"""),0.050763888888888886)</f>
        <v>0.05076388889</v>
      </c>
      <c r="Q43" s="151"/>
      <c r="R43" s="140"/>
      <c r="S43" s="140"/>
    </row>
    <row r="44" ht="33.75" customHeight="1">
      <c r="A44" s="140"/>
      <c r="B44" s="140"/>
      <c r="C44" s="147">
        <f>IFERROR(__xludf.DUMMYFUNCTION("""COMPUTED_VALUE"""),2881068.0)</f>
        <v>2881068</v>
      </c>
      <c r="D44" s="148" t="str">
        <f>IFERROR(__xludf.DUMMYFUNCTION("""COMPUTED_VALUE"""),"First Five Things You Have to Do to Start a Business as a Creator")</f>
        <v>First Five Things You Have to Do to Start a Business as a Creator</v>
      </c>
      <c r="E44" s="147" t="str">
        <f>IFERROR(__xludf.DUMMYFUNCTION("""COMPUTED_VALUE"""),"General")</f>
        <v>General</v>
      </c>
      <c r="F44" s="141" t="str">
        <f>IFERROR(__xludf.DUMMYFUNCTION("""COMPUTED_VALUE"""),"Beginner")</f>
        <v>Beginner</v>
      </c>
      <c r="G44" s="143">
        <f>IFERROR(__xludf.DUMMYFUNCTION("""COMPUTED_VALUE"""),0.025243055555555557)</f>
        <v>0.02524305556</v>
      </c>
      <c r="H44" s="151"/>
      <c r="I44" s="140"/>
      <c r="J44" s="140"/>
      <c r="K44" s="140"/>
      <c r="L44" s="147">
        <f>IFERROR(__xludf.DUMMYFUNCTION("""COMPUTED_VALUE"""),2825494.0)</f>
        <v>2825494</v>
      </c>
      <c r="M44" s="148" t="str">
        <f>IFERROR(__xludf.DUMMYFUNCTION("""COMPUTED_VALUE"""),"Creating a Culture of Learning")</f>
        <v>Creating a Culture of Learning</v>
      </c>
      <c r="N44" s="147" t="str">
        <f>IFERROR(__xludf.DUMMYFUNCTION("""COMPUTED_VALUE"""),"General")</f>
        <v>General</v>
      </c>
      <c r="O44" s="141" t="str">
        <f>IFERROR(__xludf.DUMMYFUNCTION("""COMPUTED_VALUE"""),"Beginner")</f>
        <v>Beginner</v>
      </c>
      <c r="P44" s="143">
        <f>IFERROR(__xludf.DUMMYFUNCTION("""COMPUTED_VALUE"""),0.02619212962962963)</f>
        <v>0.02619212963</v>
      </c>
      <c r="Q44" s="151"/>
      <c r="R44" s="140"/>
      <c r="S44" s="140"/>
    </row>
    <row r="45" ht="33.75" customHeight="1">
      <c r="A45" s="140"/>
      <c r="B45" s="140"/>
      <c r="C45" s="147">
        <f>IFERROR(__xludf.DUMMYFUNCTION("""COMPUTED_VALUE"""),2421750.0)</f>
        <v>2421750</v>
      </c>
      <c r="D45" s="163" t="str">
        <f>IFERROR(__xludf.DUMMYFUNCTION("""COMPUTED_VALUE"""),"Build Your Financial Literacy")</f>
        <v>Build Your Financial Literacy</v>
      </c>
      <c r="E45" s="147" t="str">
        <f>IFERROR(__xludf.DUMMYFUNCTION("""COMPUTED_VALUE"""),"General")</f>
        <v>General</v>
      </c>
      <c r="F45" s="141" t="str">
        <f>IFERROR(__xludf.DUMMYFUNCTION("""COMPUTED_VALUE"""),"Beginner")</f>
        <v>Beginner</v>
      </c>
      <c r="G45" s="143">
        <f>IFERROR(__xludf.DUMMYFUNCTION("""COMPUTED_VALUE"""),0.04805555555555555)</f>
        <v>0.04805555556</v>
      </c>
      <c r="H45" s="151"/>
      <c r="I45" s="140"/>
      <c r="J45" s="140"/>
      <c r="K45" s="140"/>
      <c r="L45" s="147">
        <f>IFERROR(__xludf.DUMMYFUNCTION("""COMPUTED_VALUE"""),2841554.0)</f>
        <v>2841554</v>
      </c>
      <c r="M45" s="148" t="str">
        <f>IFERROR(__xludf.DUMMYFUNCTION("""COMPUTED_VALUE"""),"Inclusion During Difficult Times")</f>
        <v>Inclusion During Difficult Times</v>
      </c>
      <c r="N45" s="147" t="str">
        <f>IFERROR(__xludf.DUMMYFUNCTION("""COMPUTED_VALUE"""),"General")</f>
        <v>General</v>
      </c>
      <c r="O45" s="141" t="str">
        <f>IFERROR(__xludf.DUMMYFUNCTION("""COMPUTED_VALUE"""),"Beginner")</f>
        <v>Beginner</v>
      </c>
      <c r="P45" s="143">
        <f>IFERROR(__xludf.DUMMYFUNCTION("""COMPUTED_VALUE"""),0.02634259259259259)</f>
        <v>0.02634259259</v>
      </c>
      <c r="Q45" s="151"/>
      <c r="R45" s="140"/>
      <c r="S45" s="140"/>
    </row>
    <row r="46" ht="33.75" customHeight="1">
      <c r="A46" s="140"/>
      <c r="B46" s="140"/>
      <c r="C46" s="147">
        <f>IFERROR(__xludf.DUMMYFUNCTION("""COMPUTED_VALUE"""),2887313.0)</f>
        <v>2887313</v>
      </c>
      <c r="D46" s="148" t="str">
        <f>IFERROR(__xludf.DUMMYFUNCTION("""COMPUTED_VALUE"""),"Managerial Finance Foundations")</f>
        <v>Managerial Finance Foundations</v>
      </c>
      <c r="E46" s="147" t="str">
        <f>IFERROR(__xludf.DUMMYFUNCTION("""COMPUTED_VALUE"""),"General")</f>
        <v>General</v>
      </c>
      <c r="F46" s="141" t="str">
        <f>IFERROR(__xludf.DUMMYFUNCTION("""COMPUTED_VALUE"""),"Beginner")</f>
        <v>Beginner</v>
      </c>
      <c r="G46" s="143">
        <f>IFERROR(__xludf.DUMMYFUNCTION("""COMPUTED_VALUE"""),0.07393518518518519)</f>
        <v>0.07393518519</v>
      </c>
      <c r="H46" s="151"/>
      <c r="I46" s="140"/>
      <c r="J46" s="140"/>
      <c r="K46" s="140"/>
      <c r="L46" s="147">
        <f>IFERROR(__xludf.DUMMYFUNCTION("""COMPUTED_VALUE"""),2833040.0)</f>
        <v>2833040</v>
      </c>
      <c r="M46" s="148" t="str">
        <f>IFERROR(__xludf.DUMMYFUNCTION("""COMPUTED_VALUE"""),"Recruiting Foundations: Recruiting for External Recruiters")</f>
        <v>Recruiting Foundations: Recruiting for External Recruiters</v>
      </c>
      <c r="N46" s="147" t="str">
        <f>IFERROR(__xludf.DUMMYFUNCTION("""COMPUTED_VALUE"""),"General")</f>
        <v>General</v>
      </c>
      <c r="O46" s="141" t="str">
        <f>IFERROR(__xludf.DUMMYFUNCTION("""COMPUTED_VALUE"""),"Beginner")</f>
        <v>Beginner</v>
      </c>
      <c r="P46" s="143">
        <f>IFERROR(__xludf.DUMMYFUNCTION("""COMPUTED_VALUE"""),0.04756944444444444)</f>
        <v>0.04756944444</v>
      </c>
      <c r="Q46" s="151"/>
      <c r="R46" s="140"/>
      <c r="S46" s="140"/>
    </row>
    <row r="47" ht="33.75" customHeight="1">
      <c r="A47" s="140"/>
      <c r="B47" s="140"/>
      <c r="C47" s="147">
        <f>IFERROR(__xludf.DUMMYFUNCTION("""COMPUTED_VALUE"""),2889063.0)</f>
        <v>2889063</v>
      </c>
      <c r="D47" s="148" t="str">
        <f>IFERROR(__xludf.DUMMYFUNCTION("""COMPUTED_VALUE"""),"Accounting Foundations: Understanding the GAAP (Generally Accepted Accounting Principles)")</f>
        <v>Accounting Foundations: Understanding the GAAP (Generally Accepted Accounting Principles)</v>
      </c>
      <c r="E47" s="147" t="str">
        <f>IFERROR(__xludf.DUMMYFUNCTION("""COMPUTED_VALUE"""),"General")</f>
        <v>General</v>
      </c>
      <c r="F47" s="141" t="str">
        <f>IFERROR(__xludf.DUMMYFUNCTION("""COMPUTED_VALUE"""),"Beginner")</f>
        <v>Beginner</v>
      </c>
      <c r="G47" s="143">
        <f>IFERROR(__xludf.DUMMYFUNCTION("""COMPUTED_VALUE"""),0.047650462962962964)</f>
        <v>0.04765046296</v>
      </c>
      <c r="H47" s="151"/>
      <c r="I47" s="140"/>
      <c r="J47" s="140"/>
      <c r="K47" s="140"/>
      <c r="L47" s="147">
        <f>IFERROR(__xludf.DUMMYFUNCTION("""COMPUTED_VALUE"""),5022328.0)</f>
        <v>5022328</v>
      </c>
      <c r="M47" s="148" t="str">
        <f>IFERROR(__xludf.DUMMYFUNCTION("""COMPUTED_VALUE"""),"Recruiting Foundations: Recruiting for In-House Recruiters")</f>
        <v>Recruiting Foundations: Recruiting for In-House Recruiters</v>
      </c>
      <c r="N47" s="147" t="str">
        <f>IFERROR(__xludf.DUMMYFUNCTION("""COMPUTED_VALUE"""),"General")</f>
        <v>General</v>
      </c>
      <c r="O47" s="141" t="str">
        <f>IFERROR(__xludf.DUMMYFUNCTION("""COMPUTED_VALUE"""),"Beginner")</f>
        <v>Beginner</v>
      </c>
      <c r="P47" s="143">
        <f>IFERROR(__xludf.DUMMYFUNCTION("""COMPUTED_VALUE"""),0.04833333333333333)</f>
        <v>0.04833333333</v>
      </c>
      <c r="Q47" s="151"/>
      <c r="R47" s="140"/>
      <c r="S47" s="140"/>
    </row>
    <row r="48" ht="33.75" customHeight="1">
      <c r="A48" s="140"/>
      <c r="B48" s="140"/>
      <c r="C48" s="147">
        <f>IFERROR(__xludf.DUMMYFUNCTION("""COMPUTED_VALUE"""),2878200.0)</f>
        <v>2878200</v>
      </c>
      <c r="D48" s="148" t="str">
        <f>IFERROR(__xludf.DUMMYFUNCTION("""COMPUTED_VALUE"""),"QuickBooks Online Essential Training")</f>
        <v>QuickBooks Online Essential Training</v>
      </c>
      <c r="E48" s="147" t="str">
        <f>IFERROR(__xludf.DUMMYFUNCTION("""COMPUTED_VALUE"""),"General")</f>
        <v>General</v>
      </c>
      <c r="F48" s="141" t="str">
        <f>IFERROR(__xludf.DUMMYFUNCTION("""COMPUTED_VALUE"""),"Beginner + Intermediate")</f>
        <v>Beginner + Intermediate</v>
      </c>
      <c r="G48" s="143">
        <f>IFERROR(__xludf.DUMMYFUNCTION("""COMPUTED_VALUE"""),0.16766203703703703)</f>
        <v>0.167662037</v>
      </c>
      <c r="H48" s="151"/>
      <c r="I48" s="140"/>
      <c r="J48" s="140"/>
      <c r="K48" s="140"/>
      <c r="L48" s="147">
        <f>IFERROR(__xludf.DUMMYFUNCTION("""COMPUTED_VALUE"""),2882044.0)</f>
        <v>2882044</v>
      </c>
      <c r="M48" s="148" t="str">
        <f>IFERROR(__xludf.DUMMYFUNCTION("""COMPUTED_VALUE"""),"Learning LinkedIn Recruiter")</f>
        <v>Learning LinkedIn Recruiter</v>
      </c>
      <c r="N48" s="147" t="str">
        <f>IFERROR(__xludf.DUMMYFUNCTION("""COMPUTED_VALUE"""),"General")</f>
        <v>General</v>
      </c>
      <c r="O48" s="141" t="str">
        <f>IFERROR(__xludf.DUMMYFUNCTION("""COMPUTED_VALUE"""),"Beginner")</f>
        <v>Beginner</v>
      </c>
      <c r="P48" s="143">
        <f>IFERROR(__xludf.DUMMYFUNCTION("""COMPUTED_VALUE"""),0.03582175925925926)</f>
        <v>0.03582175926</v>
      </c>
      <c r="Q48" s="151"/>
      <c r="R48" s="140"/>
      <c r="S48" s="140"/>
    </row>
    <row r="49" ht="33.75" customHeight="1">
      <c r="A49" s="140"/>
      <c r="B49" s="140"/>
      <c r="C49" s="147">
        <f>IFERROR(__xludf.DUMMYFUNCTION("""COMPUTED_VALUE"""),786351.0)</f>
        <v>786351</v>
      </c>
      <c r="D49" s="148" t="str">
        <f>IFERROR(__xludf.DUMMYFUNCTION("""COMPUTED_VALUE"""),"QuickBooks Pro 2019 Essential Training")</f>
        <v>QuickBooks Pro 2019 Essential Training</v>
      </c>
      <c r="E49" s="147" t="str">
        <f>IFERROR(__xludf.DUMMYFUNCTION("""COMPUTED_VALUE"""),"General")</f>
        <v>General</v>
      </c>
      <c r="F49" s="141" t="str">
        <f>IFERROR(__xludf.DUMMYFUNCTION("""COMPUTED_VALUE"""),"Beginner + Intermediate")</f>
        <v>Beginner + Intermediate</v>
      </c>
      <c r="G49" s="143">
        <f>IFERROR(__xludf.DUMMYFUNCTION("""COMPUTED_VALUE"""),0.16930555555555554)</f>
        <v>0.1693055556</v>
      </c>
      <c r="H49" s="151"/>
      <c r="I49" s="140"/>
      <c r="J49" s="140"/>
      <c r="K49" s="140"/>
      <c r="L49" s="147">
        <f>IFERROR(__xludf.DUMMYFUNCTION("""COMPUTED_VALUE"""),2893008.0)</f>
        <v>2893008</v>
      </c>
      <c r="M49" s="148" t="str">
        <f>IFERROR(__xludf.DUMMYFUNCTION("""COMPUTED_VALUE"""),"Demystifying Company Culture")</f>
        <v>Demystifying Company Culture</v>
      </c>
      <c r="N49" s="147" t="str">
        <f>IFERROR(__xludf.DUMMYFUNCTION("""COMPUTED_VALUE"""),"General")</f>
        <v>General</v>
      </c>
      <c r="O49" s="141" t="str">
        <f>IFERROR(__xludf.DUMMYFUNCTION("""COMPUTED_VALUE"""),"Beginner")</f>
        <v>Beginner</v>
      </c>
      <c r="P49" s="143">
        <f>IFERROR(__xludf.DUMMYFUNCTION("""COMPUTED_VALUE"""),0.04299768518518519)</f>
        <v>0.04299768519</v>
      </c>
      <c r="Q49" s="151"/>
      <c r="R49" s="140"/>
      <c r="S49" s="140"/>
    </row>
    <row r="50" ht="33.75" customHeight="1">
      <c r="A50" s="140"/>
      <c r="B50" s="140"/>
      <c r="C50" s="147">
        <f>IFERROR(__xludf.DUMMYFUNCTION("""COMPUTED_VALUE"""),713376.0)</f>
        <v>713376</v>
      </c>
      <c r="D50" s="148" t="str">
        <f>IFERROR(__xludf.DUMMYFUNCTION("""COMPUTED_VALUE"""),"Financial Accounting Part 2")</f>
        <v>Financial Accounting Part 2</v>
      </c>
      <c r="E50" s="147" t="str">
        <f>IFERROR(__xludf.DUMMYFUNCTION("""COMPUTED_VALUE"""),"General")</f>
        <v>General</v>
      </c>
      <c r="F50" s="141" t="str">
        <f>IFERROR(__xludf.DUMMYFUNCTION("""COMPUTED_VALUE"""),"Beginner + Intermediate")</f>
        <v>Beginner + Intermediate</v>
      </c>
      <c r="G50" s="143">
        <f>IFERROR(__xludf.DUMMYFUNCTION("""COMPUTED_VALUE"""),0.13708333333333333)</f>
        <v>0.1370833333</v>
      </c>
      <c r="H50" s="151"/>
      <c r="I50" s="140"/>
      <c r="J50" s="140"/>
      <c r="K50" s="140"/>
      <c r="L50" s="147">
        <f>IFERROR(__xludf.DUMMYFUNCTION("""COMPUTED_VALUE"""),2881152.0)</f>
        <v>2881152</v>
      </c>
      <c r="M50" s="148" t="str">
        <f>IFERROR(__xludf.DUMMYFUNCTION("""COMPUTED_VALUE"""),"Business Benefits Realization Foundations")</f>
        <v>Business Benefits Realization Foundations</v>
      </c>
      <c r="N50" s="147" t="str">
        <f>IFERROR(__xludf.DUMMYFUNCTION("""COMPUTED_VALUE"""),"General")</f>
        <v>General</v>
      </c>
      <c r="O50" s="141" t="str">
        <f>IFERROR(__xludf.DUMMYFUNCTION("""COMPUTED_VALUE"""),"Beginner")</f>
        <v>Beginner</v>
      </c>
      <c r="P50" s="143">
        <f>IFERROR(__xludf.DUMMYFUNCTION("""COMPUTED_VALUE"""),0.049247685185185186)</f>
        <v>0.04924768519</v>
      </c>
      <c r="Q50" s="151"/>
      <c r="R50" s="140"/>
      <c r="S50" s="140"/>
    </row>
    <row r="51" ht="33.75" customHeight="1">
      <c r="A51" s="140"/>
      <c r="B51" s="140"/>
      <c r="C51" s="147">
        <f>IFERROR(__xludf.DUMMYFUNCTION("""COMPUTED_VALUE"""),608996.0)</f>
        <v>608996</v>
      </c>
      <c r="D51" s="148" t="str">
        <f>IFERROR(__xludf.DUMMYFUNCTION("""COMPUTED_VALUE"""),"Finance Foundations: Risk Management")</f>
        <v>Finance Foundations: Risk Management</v>
      </c>
      <c r="E51" s="147" t="str">
        <f>IFERROR(__xludf.DUMMYFUNCTION("""COMPUTED_VALUE"""),"General")</f>
        <v>General</v>
      </c>
      <c r="F51" s="141" t="str">
        <f>IFERROR(__xludf.DUMMYFUNCTION("""COMPUTED_VALUE"""),"Beginner + Intermediate")</f>
        <v>Beginner + Intermediate</v>
      </c>
      <c r="G51" s="143">
        <f>IFERROR(__xludf.DUMMYFUNCTION("""COMPUTED_VALUE"""),0.049791666666666665)</f>
        <v>0.04979166667</v>
      </c>
      <c r="H51" s="151"/>
      <c r="I51" s="140"/>
      <c r="J51" s="140"/>
      <c r="K51" s="140"/>
      <c r="L51" s="147">
        <f>IFERROR(__xludf.DUMMYFUNCTION("""COMPUTED_VALUE"""),3007572.0)</f>
        <v>3007572</v>
      </c>
      <c r="M51" s="148" t="str">
        <f>IFERROR(__xludf.DUMMYFUNCTION("""COMPUTED_VALUE"""),"Preparing for the SHRM-CP Exam")</f>
        <v>Preparing for the SHRM-CP Exam</v>
      </c>
      <c r="N51" s="147" t="str">
        <f>IFERROR(__xludf.DUMMYFUNCTION("""COMPUTED_VALUE"""),"General")</f>
        <v>General</v>
      </c>
      <c r="O51" s="141" t="str">
        <f>IFERROR(__xludf.DUMMYFUNCTION("""COMPUTED_VALUE"""),"Beginner")</f>
        <v>Beginner</v>
      </c>
      <c r="P51" s="143">
        <f>IFERROR(__xludf.DUMMYFUNCTION("""COMPUTED_VALUE"""),0.014270833333333333)</f>
        <v>0.01427083333</v>
      </c>
      <c r="Q51" s="151"/>
      <c r="R51" s="140"/>
      <c r="S51" s="140"/>
    </row>
    <row r="52" ht="33.75" customHeight="1">
      <c r="A52" s="140"/>
      <c r="B52" s="140"/>
      <c r="C52" s="147">
        <f>IFERROR(__xludf.DUMMYFUNCTION("""COMPUTED_VALUE"""),713377.0)</f>
        <v>713377</v>
      </c>
      <c r="D52" s="148" t="str">
        <f>IFERROR(__xludf.DUMMYFUNCTION("""COMPUTED_VALUE"""),"Financial Accounting Part 1")</f>
        <v>Financial Accounting Part 1</v>
      </c>
      <c r="E52" s="147" t="str">
        <f>IFERROR(__xludf.DUMMYFUNCTION("""COMPUTED_VALUE"""),"General")</f>
        <v>General</v>
      </c>
      <c r="F52" s="141" t="str">
        <f>IFERROR(__xludf.DUMMYFUNCTION("""COMPUTED_VALUE"""),"Beginner + Intermediate")</f>
        <v>Beginner + Intermediate</v>
      </c>
      <c r="G52" s="143">
        <f>IFERROR(__xludf.DUMMYFUNCTION("""COMPUTED_VALUE"""),0.1451736111111111)</f>
        <v>0.1451736111</v>
      </c>
      <c r="H52" s="151"/>
      <c r="I52" s="140"/>
      <c r="J52" s="140"/>
      <c r="K52" s="140"/>
      <c r="L52" s="147">
        <f>IFERROR(__xludf.DUMMYFUNCTION("""COMPUTED_VALUE"""),2428537.0)</f>
        <v>2428537</v>
      </c>
      <c r="M52" s="148" t="str">
        <f>IFERROR(__xludf.DUMMYFUNCTION("""COMPUTED_VALUE"""),"Getting Started as a LinkedIn Learning Hub Admin")</f>
        <v>Getting Started as a LinkedIn Learning Hub Admin</v>
      </c>
      <c r="N52" s="147" t="str">
        <f>IFERROR(__xludf.DUMMYFUNCTION("""COMPUTED_VALUE"""),"General")</f>
        <v>General</v>
      </c>
      <c r="O52" s="141" t="str">
        <f>IFERROR(__xludf.DUMMYFUNCTION("""COMPUTED_VALUE"""),"Beginner")</f>
        <v>Beginner</v>
      </c>
      <c r="P52" s="143">
        <f>IFERROR(__xludf.DUMMYFUNCTION("""COMPUTED_VALUE"""),0.05219907407407407)</f>
        <v>0.05219907407</v>
      </c>
      <c r="Q52" s="151"/>
      <c r="R52" s="140"/>
      <c r="S52" s="140"/>
    </row>
    <row r="53" ht="33.75" customHeight="1">
      <c r="A53" s="140"/>
      <c r="B53" s="140"/>
      <c r="C53" s="147">
        <f>IFERROR(__xludf.DUMMYFUNCTION("""COMPUTED_VALUE"""),2863039.0)</f>
        <v>2863039</v>
      </c>
      <c r="D53" s="148" t="str">
        <f>IFERROR(__xludf.DUMMYFUNCTION("""COMPUTED_VALUE"""),"Analyzing a Real Estate Deal")</f>
        <v>Analyzing a Real Estate Deal</v>
      </c>
      <c r="E53" s="147" t="str">
        <f>IFERROR(__xludf.DUMMYFUNCTION("""COMPUTED_VALUE"""),"General")</f>
        <v>General</v>
      </c>
      <c r="F53" s="141" t="str">
        <f>IFERROR(__xludf.DUMMYFUNCTION("""COMPUTED_VALUE"""),"Beginner + Intermediate")</f>
        <v>Beginner + Intermediate</v>
      </c>
      <c r="G53" s="143">
        <f>IFERROR(__xludf.DUMMYFUNCTION("""COMPUTED_VALUE"""),0.024953703703703704)</f>
        <v>0.0249537037</v>
      </c>
      <c r="H53" s="151"/>
      <c r="I53" s="140"/>
      <c r="J53" s="140"/>
      <c r="K53" s="140"/>
      <c r="L53" s="147">
        <f>IFERROR(__xludf.DUMMYFUNCTION("""COMPUTED_VALUE"""),3013248.0)</f>
        <v>3013248</v>
      </c>
      <c r="M53" s="148" t="str">
        <f>IFERROR(__xludf.DUMMYFUNCTION("""COMPUTED_VALUE"""),"Fair and Effective Interviewing for Diversity and Inclusion")</f>
        <v>Fair and Effective Interviewing for Diversity and Inclusion</v>
      </c>
      <c r="N53" s="147" t="str">
        <f>IFERROR(__xludf.DUMMYFUNCTION("""COMPUTED_VALUE"""),"General")</f>
        <v>General</v>
      </c>
      <c r="O53" s="141" t="str">
        <f>IFERROR(__xludf.DUMMYFUNCTION("""COMPUTED_VALUE"""),"Beginner")</f>
        <v>Beginner</v>
      </c>
      <c r="P53" s="143">
        <f>IFERROR(__xludf.DUMMYFUNCTION("""COMPUTED_VALUE"""),0.026261574074074073)</f>
        <v>0.02626157407</v>
      </c>
      <c r="Q53" s="151"/>
      <c r="R53" s="140"/>
      <c r="S53" s="140"/>
    </row>
    <row r="54" ht="33.75" customHeight="1">
      <c r="A54" s="140"/>
      <c r="B54" s="140"/>
      <c r="C54" s="147">
        <f>IFERROR(__xludf.DUMMYFUNCTION("""COMPUTED_VALUE"""),2837224.0)</f>
        <v>2837224</v>
      </c>
      <c r="D54" s="148" t="str">
        <f>IFERROR(__xludf.DUMMYFUNCTION("""COMPUTED_VALUE"""),"Economics for Everyone: Understanding a Recession")</f>
        <v>Economics for Everyone: Understanding a Recession</v>
      </c>
      <c r="E54" s="147" t="str">
        <f>IFERROR(__xludf.DUMMYFUNCTION("""COMPUTED_VALUE"""),"General")</f>
        <v>General</v>
      </c>
      <c r="F54" s="141" t="str">
        <f>IFERROR(__xludf.DUMMYFUNCTION("""COMPUTED_VALUE"""),"Beginner + Intermediate")</f>
        <v>Beginner + Intermediate</v>
      </c>
      <c r="G54" s="143">
        <f>IFERROR(__xludf.DUMMYFUNCTION("""COMPUTED_VALUE"""),0.025358796296296296)</f>
        <v>0.0253587963</v>
      </c>
      <c r="H54" s="151"/>
      <c r="I54" s="140"/>
      <c r="J54" s="140"/>
      <c r="K54" s="140"/>
      <c r="L54" s="147">
        <f>IFERROR(__xludf.DUMMYFUNCTION("""COMPUTED_VALUE"""),2448151.0)</f>
        <v>2448151</v>
      </c>
      <c r="M54" s="148" t="str">
        <f>IFERROR(__xludf.DUMMYFUNCTION("""COMPUTED_VALUE"""),"HR Guidelines Everyone Should Know")</f>
        <v>HR Guidelines Everyone Should Know</v>
      </c>
      <c r="N54" s="147" t="str">
        <f>IFERROR(__xludf.DUMMYFUNCTION("""COMPUTED_VALUE"""),"General")</f>
        <v>General</v>
      </c>
      <c r="O54" s="141" t="str">
        <f>IFERROR(__xludf.DUMMYFUNCTION("""COMPUTED_VALUE"""),"Beginner")</f>
        <v>Beginner</v>
      </c>
      <c r="P54" s="143">
        <f>IFERROR(__xludf.DUMMYFUNCTION("""COMPUTED_VALUE"""),0.056469907407407406)</f>
        <v>0.05646990741</v>
      </c>
      <c r="Q54" s="151"/>
      <c r="R54" s="140"/>
      <c r="S54" s="140"/>
    </row>
    <row r="55" ht="33.75" customHeight="1">
      <c r="A55" s="140"/>
      <c r="B55" s="140"/>
      <c r="C55" s="147">
        <f>IFERROR(__xludf.DUMMYFUNCTION("""COMPUTED_VALUE"""),765313.0)</f>
        <v>765313</v>
      </c>
      <c r="D55" s="148" t="str">
        <f>IFERROR(__xludf.DUMMYFUNCTION("""COMPUTED_VALUE"""),"Developing Investment Acumen")</f>
        <v>Developing Investment Acumen</v>
      </c>
      <c r="E55" s="147" t="str">
        <f>IFERROR(__xludf.DUMMYFUNCTION("""COMPUTED_VALUE"""),"General")</f>
        <v>General</v>
      </c>
      <c r="F55" s="141" t="str">
        <f>IFERROR(__xludf.DUMMYFUNCTION("""COMPUTED_VALUE"""),"Beginner + Intermediate")</f>
        <v>Beginner + Intermediate</v>
      </c>
      <c r="G55" s="143">
        <f>IFERROR(__xludf.DUMMYFUNCTION("""COMPUTED_VALUE"""),0.03844907407407407)</f>
        <v>0.03844907407</v>
      </c>
      <c r="H55" s="151"/>
      <c r="I55" s="140"/>
      <c r="J55" s="140"/>
      <c r="K55" s="140"/>
      <c r="L55" s="147">
        <f>IFERROR(__xludf.DUMMYFUNCTION("""COMPUTED_VALUE"""),5034182.0)</f>
        <v>5034182</v>
      </c>
      <c r="M55" s="148" t="str">
        <f>IFERROR(__xludf.DUMMYFUNCTION("""COMPUTED_VALUE"""),"Hiring and Managing UX Professionals")</f>
        <v>Hiring and Managing UX Professionals</v>
      </c>
      <c r="N55" s="147" t="str">
        <f>IFERROR(__xludf.DUMMYFUNCTION("""COMPUTED_VALUE"""),"General")</f>
        <v>General</v>
      </c>
      <c r="O55" s="141" t="str">
        <f>IFERROR(__xludf.DUMMYFUNCTION("""COMPUTED_VALUE"""),"Beginner + Intermediate")</f>
        <v>Beginner + Intermediate</v>
      </c>
      <c r="P55" s="143">
        <f>IFERROR(__xludf.DUMMYFUNCTION("""COMPUTED_VALUE"""),0.04690972222222222)</f>
        <v>0.04690972222</v>
      </c>
      <c r="Q55" s="151"/>
      <c r="R55" s="140"/>
      <c r="S55" s="140"/>
    </row>
    <row r="56" ht="33.75" customHeight="1">
      <c r="A56" s="140"/>
      <c r="B56" s="140"/>
      <c r="C56" s="147">
        <f>IFERROR(__xludf.DUMMYFUNCTION("""COMPUTED_VALUE"""),639059.0)</f>
        <v>639059</v>
      </c>
      <c r="D56" s="148" t="str">
        <f>IFERROR(__xludf.DUMMYFUNCTION("""COMPUTED_VALUE"""),"Financial Record Keeping")</f>
        <v>Financial Record Keeping</v>
      </c>
      <c r="E56" s="147" t="str">
        <f>IFERROR(__xludf.DUMMYFUNCTION("""COMPUTED_VALUE"""),"General")</f>
        <v>General</v>
      </c>
      <c r="F56" s="141" t="str">
        <f>IFERROR(__xludf.DUMMYFUNCTION("""COMPUTED_VALUE"""),"Beginner + Intermediate")</f>
        <v>Beginner + Intermediate</v>
      </c>
      <c r="G56" s="143">
        <f>IFERROR(__xludf.DUMMYFUNCTION("""COMPUTED_VALUE"""),0.08429398148148148)</f>
        <v>0.08429398148</v>
      </c>
      <c r="H56" s="151"/>
      <c r="I56" s="140"/>
      <c r="J56" s="140"/>
      <c r="K56" s="140"/>
      <c r="L56" s="147">
        <f>IFERROR(__xludf.DUMMYFUNCTION("""COMPUTED_VALUE"""),2823250.0)</f>
        <v>2823250</v>
      </c>
      <c r="M56" s="148" t="str">
        <f>IFERROR(__xludf.DUMMYFUNCTION("""COMPUTED_VALUE"""),"Understanding Organisations and the Role of HR")</f>
        <v>Understanding Organisations and the Role of HR</v>
      </c>
      <c r="N56" s="147" t="str">
        <f>IFERROR(__xludf.DUMMYFUNCTION("""COMPUTED_VALUE"""),"General")</f>
        <v>General</v>
      </c>
      <c r="O56" s="141" t="str">
        <f>IFERROR(__xludf.DUMMYFUNCTION("""COMPUTED_VALUE"""),"Beginner + Intermediate")</f>
        <v>Beginner + Intermediate</v>
      </c>
      <c r="P56" s="143">
        <f>IFERROR(__xludf.DUMMYFUNCTION("""COMPUTED_VALUE"""),0.03664351851851852)</f>
        <v>0.03664351852</v>
      </c>
      <c r="Q56" s="151"/>
      <c r="R56" s="140"/>
      <c r="S56" s="140"/>
    </row>
    <row r="57" ht="33.75" customHeight="1">
      <c r="A57" s="140"/>
      <c r="B57" s="140"/>
      <c r="C57" s="147">
        <f>IFERROR(__xludf.DUMMYFUNCTION("""COMPUTED_VALUE"""),697709.0)</f>
        <v>697709</v>
      </c>
      <c r="D57" s="148" t="str">
        <f>IFERROR(__xludf.DUMMYFUNCTION("""COMPUTED_VALUE"""),"Financial Modeling Foundations")</f>
        <v>Financial Modeling Foundations</v>
      </c>
      <c r="E57" s="147" t="str">
        <f>IFERROR(__xludf.DUMMYFUNCTION("""COMPUTED_VALUE"""),"General")</f>
        <v>General</v>
      </c>
      <c r="F57" s="141" t="str">
        <f>IFERROR(__xludf.DUMMYFUNCTION("""COMPUTED_VALUE"""),"Beginner + Intermediate")</f>
        <v>Beginner + Intermediate</v>
      </c>
      <c r="G57" s="143">
        <f>IFERROR(__xludf.DUMMYFUNCTION("""COMPUTED_VALUE"""),0.1253240740740741)</f>
        <v>0.1253240741</v>
      </c>
      <c r="H57" s="151"/>
      <c r="I57" s="140"/>
      <c r="J57" s="140"/>
      <c r="K57" s="140"/>
      <c r="L57" s="147">
        <f>IFERROR(__xludf.DUMMYFUNCTION("""COMPUTED_VALUE"""),724786.0)</f>
        <v>724786</v>
      </c>
      <c r="M57" s="148" t="str">
        <f>IFERROR(__xludf.DUMMYFUNCTION("""COMPUTED_VALUE"""),"Human Resources: Creating an Employee Handbook")</f>
        <v>Human Resources: Creating an Employee Handbook</v>
      </c>
      <c r="N57" s="147" t="str">
        <f>IFERROR(__xludf.DUMMYFUNCTION("""COMPUTED_VALUE"""),"General")</f>
        <v>General</v>
      </c>
      <c r="O57" s="141" t="str">
        <f>IFERROR(__xludf.DUMMYFUNCTION("""COMPUTED_VALUE"""),"Beginner + Intermediate")</f>
        <v>Beginner + Intermediate</v>
      </c>
      <c r="P57" s="143">
        <f>IFERROR(__xludf.DUMMYFUNCTION("""COMPUTED_VALUE"""),0.025659722222222223)</f>
        <v>0.02565972222</v>
      </c>
      <c r="Q57" s="151"/>
      <c r="R57" s="140"/>
      <c r="S57" s="140"/>
    </row>
    <row r="58" ht="33.75" customHeight="1">
      <c r="A58" s="140"/>
      <c r="B58" s="140"/>
      <c r="C58" s="147">
        <f>IFERROR(__xludf.DUMMYFUNCTION("""COMPUTED_VALUE"""),5005044.0)</f>
        <v>5005044</v>
      </c>
      <c r="D58" s="148" t="str">
        <f>IFERROR(__xludf.DUMMYFUNCTION("""COMPUTED_VALUE"""),"Activity-Based Costing")</f>
        <v>Activity-Based Costing</v>
      </c>
      <c r="E58" s="147" t="str">
        <f>IFERROR(__xludf.DUMMYFUNCTION("""COMPUTED_VALUE"""),"General")</f>
        <v>General</v>
      </c>
      <c r="F58" s="141" t="str">
        <f>IFERROR(__xludf.DUMMYFUNCTION("""COMPUTED_VALUE"""),"Intermediate")</f>
        <v>Intermediate</v>
      </c>
      <c r="G58" s="143">
        <f>IFERROR(__xludf.DUMMYFUNCTION("""COMPUTED_VALUE"""),0.04013888888888889)</f>
        <v>0.04013888889</v>
      </c>
      <c r="H58" s="151"/>
      <c r="I58" s="140"/>
      <c r="J58" s="140"/>
      <c r="K58" s="140"/>
      <c r="L58" s="147">
        <f>IFERROR(__xludf.DUMMYFUNCTION("""COMPUTED_VALUE"""),704123.0)</f>
        <v>704123</v>
      </c>
      <c r="M58" s="148" t="str">
        <f>IFERROR(__xludf.DUMMYFUNCTION("""COMPUTED_VALUE"""),"Human Resources: Working with Vendors")</f>
        <v>Human Resources: Working with Vendors</v>
      </c>
      <c r="N58" s="147" t="str">
        <f>IFERROR(__xludf.DUMMYFUNCTION("""COMPUTED_VALUE"""),"General")</f>
        <v>General</v>
      </c>
      <c r="O58" s="141" t="str">
        <f>IFERROR(__xludf.DUMMYFUNCTION("""COMPUTED_VALUE"""),"Beginner + Intermediate")</f>
        <v>Beginner + Intermediate</v>
      </c>
      <c r="P58" s="143">
        <f>IFERROR(__xludf.DUMMYFUNCTION("""COMPUTED_VALUE"""),0.017418981481481483)</f>
        <v>0.01741898148</v>
      </c>
      <c r="Q58" s="151"/>
      <c r="R58" s="140"/>
      <c r="S58" s="140"/>
    </row>
    <row r="59" ht="33.75" customHeight="1">
      <c r="A59" s="140"/>
      <c r="B59" s="140"/>
      <c r="C59" s="147">
        <f>IFERROR(__xludf.DUMMYFUNCTION("""COMPUTED_VALUE"""),5043069.0)</f>
        <v>5043069</v>
      </c>
      <c r="D59" s="148" t="str">
        <f>IFERROR(__xludf.DUMMYFUNCTION("""COMPUTED_VALUE"""),"Corporate Financial Statement Analysis")</f>
        <v>Corporate Financial Statement Analysis</v>
      </c>
      <c r="E59" s="147" t="str">
        <f>IFERROR(__xludf.DUMMYFUNCTION("""COMPUTED_VALUE"""),"General")</f>
        <v>General</v>
      </c>
      <c r="F59" s="141" t="str">
        <f>IFERROR(__xludf.DUMMYFUNCTION("""COMPUTED_VALUE"""),"Intermediate")</f>
        <v>Intermediate</v>
      </c>
      <c r="G59" s="143">
        <f>IFERROR(__xludf.DUMMYFUNCTION("""COMPUTED_VALUE"""),0.06295138888888889)</f>
        <v>0.06295138889</v>
      </c>
      <c r="H59" s="151"/>
      <c r="I59" s="140"/>
      <c r="J59" s="140"/>
      <c r="K59" s="140"/>
      <c r="L59" s="147">
        <f>IFERROR(__xludf.DUMMYFUNCTION("""COMPUTED_VALUE"""),628688.0)</f>
        <v>628688</v>
      </c>
      <c r="M59" s="148" t="str">
        <f>IFERROR(__xludf.DUMMYFUNCTION("""COMPUTED_VALUE"""),"Introduction to the PHR Certification Exam")</f>
        <v>Introduction to the PHR Certification Exam</v>
      </c>
      <c r="N59" s="147" t="str">
        <f>IFERROR(__xludf.DUMMYFUNCTION("""COMPUTED_VALUE"""),"General")</f>
        <v>General</v>
      </c>
      <c r="O59" s="141" t="str">
        <f>IFERROR(__xludf.DUMMYFUNCTION("""COMPUTED_VALUE"""),"Intermediate")</f>
        <v>Intermediate</v>
      </c>
      <c r="P59" s="143">
        <f>IFERROR(__xludf.DUMMYFUNCTION("""COMPUTED_VALUE"""),0.040462962962962964)</f>
        <v>0.04046296296</v>
      </c>
      <c r="Q59" s="151"/>
      <c r="R59" s="140"/>
      <c r="S59" s="140"/>
    </row>
    <row r="60" ht="33.75" customHeight="1">
      <c r="A60" s="140"/>
      <c r="B60" s="140"/>
      <c r="C60" s="147">
        <f>IFERROR(__xludf.DUMMYFUNCTION("""COMPUTED_VALUE"""),2825616.0)</f>
        <v>2825616</v>
      </c>
      <c r="D60" s="148" t="str">
        <f>IFERROR(__xludf.DUMMYFUNCTION("""COMPUTED_VALUE"""),"Finance Strategies for Business Leaders")</f>
        <v>Finance Strategies for Business Leaders</v>
      </c>
      <c r="E60" s="147" t="str">
        <f>IFERROR(__xludf.DUMMYFUNCTION("""COMPUTED_VALUE"""),"General")</f>
        <v>General</v>
      </c>
      <c r="F60" s="141" t="str">
        <f>IFERROR(__xludf.DUMMYFUNCTION("""COMPUTED_VALUE"""),"Intermediate")</f>
        <v>Intermediate</v>
      </c>
      <c r="G60" s="143">
        <f>IFERROR(__xludf.DUMMYFUNCTION("""COMPUTED_VALUE"""),0.03796296296296296)</f>
        <v>0.03796296296</v>
      </c>
      <c r="H60" s="151"/>
      <c r="I60" s="140"/>
      <c r="J60" s="140"/>
      <c r="K60" s="140"/>
      <c r="L60" s="147">
        <f>IFERROR(__xludf.DUMMYFUNCTION("""COMPUTED_VALUE"""),769279.0)</f>
        <v>769279</v>
      </c>
      <c r="M60" s="148" t="str">
        <f>IFERROR(__xludf.DUMMYFUNCTION("""COMPUTED_VALUE"""),"Driving Workplace Happiness")</f>
        <v>Driving Workplace Happiness</v>
      </c>
      <c r="N60" s="147" t="str">
        <f>IFERROR(__xludf.DUMMYFUNCTION("""COMPUTED_VALUE"""),"General")</f>
        <v>General</v>
      </c>
      <c r="O60" s="141" t="str">
        <f>IFERROR(__xludf.DUMMYFUNCTION("""COMPUTED_VALUE"""),"Intermediate")</f>
        <v>Intermediate</v>
      </c>
      <c r="P60" s="143">
        <f>IFERROR(__xludf.DUMMYFUNCTION("""COMPUTED_VALUE"""),0.03405092592592593)</f>
        <v>0.03405092593</v>
      </c>
      <c r="Q60" s="151"/>
      <c r="R60" s="140"/>
      <c r="S60" s="140"/>
    </row>
    <row r="61" ht="33.75" customHeight="1">
      <c r="A61" s="140"/>
      <c r="B61" s="140"/>
      <c r="C61" s="147">
        <f>IFERROR(__xludf.DUMMYFUNCTION("""COMPUTED_VALUE"""),2852000.0)</f>
        <v>2852000</v>
      </c>
      <c r="D61" s="148" t="str">
        <f>IFERROR(__xludf.DUMMYFUNCTION("""COMPUTED_VALUE"""),"SAP Business One: Finance and Banking")</f>
        <v>SAP Business One: Finance and Banking</v>
      </c>
      <c r="E61" s="147" t="str">
        <f>IFERROR(__xludf.DUMMYFUNCTION("""COMPUTED_VALUE"""),"General")</f>
        <v>General</v>
      </c>
      <c r="F61" s="141" t="str">
        <f>IFERROR(__xludf.DUMMYFUNCTION("""COMPUTED_VALUE"""),"Intermediate")</f>
        <v>Intermediate</v>
      </c>
      <c r="G61" s="143">
        <f>IFERROR(__xludf.DUMMYFUNCTION("""COMPUTED_VALUE"""),0.1150462962962963)</f>
        <v>0.1150462963</v>
      </c>
      <c r="H61" s="151"/>
      <c r="I61" s="140"/>
      <c r="J61" s="140"/>
      <c r="K61" s="140"/>
      <c r="L61" s="147">
        <f>IFERROR(__xludf.DUMMYFUNCTION("""COMPUTED_VALUE"""),669537.0)</f>
        <v>669537</v>
      </c>
      <c r="M61" s="148" t="str">
        <f>IFERROR(__xludf.DUMMYFUNCTION("""COMPUTED_VALUE"""),"Human Resources: Payroll")</f>
        <v>Human Resources: Payroll</v>
      </c>
      <c r="N61" s="147" t="str">
        <f>IFERROR(__xludf.DUMMYFUNCTION("""COMPUTED_VALUE"""),"General")</f>
        <v>General</v>
      </c>
      <c r="O61" s="141" t="str">
        <f>IFERROR(__xludf.DUMMYFUNCTION("""COMPUTED_VALUE"""),"Intermediate")</f>
        <v>Intermediate</v>
      </c>
      <c r="P61" s="143">
        <f>IFERROR(__xludf.DUMMYFUNCTION("""COMPUTED_VALUE"""),0.024502314814814814)</f>
        <v>0.02450231481</v>
      </c>
      <c r="Q61" s="151"/>
      <c r="R61" s="140"/>
      <c r="S61" s="140"/>
    </row>
    <row r="62" ht="33.75" customHeight="1">
      <c r="A62" s="140"/>
      <c r="B62" s="140"/>
      <c r="C62" s="147">
        <f>IFERROR(__xludf.DUMMYFUNCTION("""COMPUTED_VALUE"""),368915.0)</f>
        <v>368915</v>
      </c>
      <c r="D62" s="148" t="str">
        <f>IFERROR(__xludf.DUMMYFUNCTION("""COMPUTED_VALUE"""),"Finance for Non-Financial Managers")</f>
        <v>Finance for Non-Financial Managers</v>
      </c>
      <c r="E62" s="147" t="str">
        <f>IFERROR(__xludf.DUMMYFUNCTION("""COMPUTED_VALUE"""),"General")</f>
        <v>General</v>
      </c>
      <c r="F62" s="141" t="str">
        <f>IFERROR(__xludf.DUMMYFUNCTION("""COMPUTED_VALUE"""),"Intermediate")</f>
        <v>Intermediate</v>
      </c>
      <c r="G62" s="143">
        <f>IFERROR(__xludf.DUMMYFUNCTION("""COMPUTED_VALUE"""),0.05797453703703704)</f>
        <v>0.05797453704</v>
      </c>
      <c r="H62" s="151"/>
      <c r="I62" s="140"/>
      <c r="J62" s="140"/>
      <c r="K62" s="140"/>
      <c r="L62" s="147">
        <f>IFERROR(__xludf.DUMMYFUNCTION("""COMPUTED_VALUE"""),616662.0)</f>
        <v>616662</v>
      </c>
      <c r="M62" s="148" t="str">
        <f>IFERROR(__xludf.DUMMYFUNCTION("""COMPUTED_VALUE"""),"Human Resources: Using Metrics to Drive HR Strategy")</f>
        <v>Human Resources: Using Metrics to Drive HR Strategy</v>
      </c>
      <c r="N62" s="147" t="str">
        <f>IFERROR(__xludf.DUMMYFUNCTION("""COMPUTED_VALUE"""),"General")</f>
        <v>General</v>
      </c>
      <c r="O62" s="141" t="str">
        <f>IFERROR(__xludf.DUMMYFUNCTION("""COMPUTED_VALUE"""),"Intermediate")</f>
        <v>Intermediate</v>
      </c>
      <c r="P62" s="143">
        <f>IFERROR(__xludf.DUMMYFUNCTION("""COMPUTED_VALUE"""),0.03532407407407408)</f>
        <v>0.03532407407</v>
      </c>
      <c r="Q62" s="151"/>
      <c r="R62" s="140"/>
      <c r="S62" s="140"/>
    </row>
    <row r="63" ht="33.75" customHeight="1">
      <c r="A63" s="140"/>
      <c r="B63" s="140"/>
      <c r="C63" s="147">
        <f>IFERROR(__xludf.DUMMYFUNCTION("""COMPUTED_VALUE"""),696865.0)</f>
        <v>696865</v>
      </c>
      <c r="D63" s="148" t="str">
        <f>IFERROR(__xludf.DUMMYFUNCTION("""COMPUTED_VALUE"""),"Protecting Profitability by Reducing Financial Risk")</f>
        <v>Protecting Profitability by Reducing Financial Risk</v>
      </c>
      <c r="E63" s="147" t="str">
        <f>IFERROR(__xludf.DUMMYFUNCTION("""COMPUTED_VALUE"""),"General")</f>
        <v>General</v>
      </c>
      <c r="F63" s="141" t="str">
        <f>IFERROR(__xludf.DUMMYFUNCTION("""COMPUTED_VALUE"""),"Intermediate")</f>
        <v>Intermediate</v>
      </c>
      <c r="G63" s="143">
        <f>IFERROR(__xludf.DUMMYFUNCTION("""COMPUTED_VALUE"""),0.07893518518518519)</f>
        <v>0.07893518519</v>
      </c>
      <c r="H63" s="151"/>
      <c r="I63" s="140"/>
      <c r="J63" s="140"/>
      <c r="K63" s="140"/>
      <c r="L63" s="147">
        <f>IFERROR(__xludf.DUMMYFUNCTION("""COMPUTED_VALUE"""),429635.0)</f>
        <v>429635</v>
      </c>
      <c r="M63" s="148" t="str">
        <f>IFERROR(__xludf.DUMMYFUNCTION("""COMPUTED_VALUE"""),"Performance-Based Hiring")</f>
        <v>Performance-Based Hiring</v>
      </c>
      <c r="N63" s="147" t="str">
        <f>IFERROR(__xludf.DUMMYFUNCTION("""COMPUTED_VALUE"""),"General")</f>
        <v>General</v>
      </c>
      <c r="O63" s="141" t="str">
        <f>IFERROR(__xludf.DUMMYFUNCTION("""COMPUTED_VALUE"""),"Intermediate")</f>
        <v>Intermediate</v>
      </c>
      <c r="P63" s="143">
        <f>IFERROR(__xludf.DUMMYFUNCTION("""COMPUTED_VALUE"""),0.029641203703703704)</f>
        <v>0.0296412037</v>
      </c>
      <c r="Q63" s="151"/>
      <c r="R63" s="140"/>
      <c r="S63" s="140"/>
    </row>
    <row r="64" ht="33.75" customHeight="1">
      <c r="A64" s="140"/>
      <c r="B64" s="140"/>
      <c r="C64" s="147">
        <f>IFERROR(__xludf.DUMMYFUNCTION("""COMPUTED_VALUE"""),2804051.0)</f>
        <v>2804051</v>
      </c>
      <c r="D64" s="148" t="str">
        <f>IFERROR(__xludf.DUMMYFUNCTION("""COMPUTED_VALUE"""),"SAP Accounts Payable Boot Camp")</f>
        <v>SAP Accounts Payable Boot Camp</v>
      </c>
      <c r="E64" s="147" t="str">
        <f>IFERROR(__xludf.DUMMYFUNCTION("""COMPUTED_VALUE"""),"General")</f>
        <v>General</v>
      </c>
      <c r="F64" s="141" t="str">
        <f>IFERROR(__xludf.DUMMYFUNCTION("""COMPUTED_VALUE"""),"Intermediate")</f>
        <v>Intermediate</v>
      </c>
      <c r="G64" s="143">
        <f>IFERROR(__xludf.DUMMYFUNCTION("""COMPUTED_VALUE"""),0.07650462962962963)</f>
        <v>0.07650462963</v>
      </c>
      <c r="H64" s="151"/>
      <c r="I64" s="140"/>
      <c r="J64" s="140"/>
      <c r="K64" s="140"/>
      <c r="L64" s="147">
        <f>IFERROR(__xludf.DUMMYFUNCTION("""COMPUTED_VALUE"""),434461.0)</f>
        <v>434461</v>
      </c>
      <c r="M64" s="148" t="str">
        <f>IFERROR(__xludf.DUMMYFUNCTION("""COMPUTED_VALUE"""),"Strategic Human Resources")</f>
        <v>Strategic Human Resources</v>
      </c>
      <c r="N64" s="147" t="str">
        <f>IFERROR(__xludf.DUMMYFUNCTION("""COMPUTED_VALUE"""),"General")</f>
        <v>General</v>
      </c>
      <c r="O64" s="141" t="str">
        <f>IFERROR(__xludf.DUMMYFUNCTION("""COMPUTED_VALUE"""),"Intermediate")</f>
        <v>Intermediate</v>
      </c>
      <c r="P64" s="143">
        <f>IFERROR(__xludf.DUMMYFUNCTION("""COMPUTED_VALUE"""),0.03778935185185185)</f>
        <v>0.03778935185</v>
      </c>
      <c r="Q64" s="151"/>
      <c r="R64" s="140"/>
      <c r="S64" s="140"/>
    </row>
    <row r="65" ht="33.75" customHeight="1">
      <c r="A65" s="140"/>
      <c r="B65" s="140"/>
      <c r="C65" s="147">
        <f>IFERROR(__xludf.DUMMYFUNCTION("""COMPUTED_VALUE"""),599601.0)</f>
        <v>599601</v>
      </c>
      <c r="D65" s="148" t="str">
        <f>IFERROR(__xludf.DUMMYFUNCTION("""COMPUTED_VALUE"""),"Contracting for Consultants")</f>
        <v>Contracting for Consultants</v>
      </c>
      <c r="E65" s="147" t="str">
        <f>IFERROR(__xludf.DUMMYFUNCTION("""COMPUTED_VALUE"""),"General")</f>
        <v>General</v>
      </c>
      <c r="F65" s="141" t="str">
        <f>IFERROR(__xludf.DUMMYFUNCTION("""COMPUTED_VALUE"""),"Intermediate")</f>
        <v>Intermediate</v>
      </c>
      <c r="G65" s="143">
        <f>IFERROR(__xludf.DUMMYFUNCTION("""COMPUTED_VALUE"""),0.043715277777777777)</f>
        <v>0.04371527778</v>
      </c>
      <c r="H65" s="151"/>
      <c r="I65" s="140"/>
      <c r="J65" s="140"/>
      <c r="K65" s="140"/>
      <c r="L65" s="147">
        <f>IFERROR(__xludf.DUMMYFUNCTION("""COMPUTED_VALUE"""),2228265.0)</f>
        <v>2228265</v>
      </c>
      <c r="M65" s="148" t="str">
        <f>IFERROR(__xludf.DUMMYFUNCTION("""COMPUTED_VALUE"""),"Interviewing Techniques")</f>
        <v>Interviewing Techniques</v>
      </c>
      <c r="N65" s="147" t="str">
        <f>IFERROR(__xludf.DUMMYFUNCTION("""COMPUTED_VALUE"""),"General")</f>
        <v>General</v>
      </c>
      <c r="O65" s="141" t="str">
        <f>IFERROR(__xludf.DUMMYFUNCTION("""COMPUTED_VALUE"""),"Intermediate")</f>
        <v>Intermediate</v>
      </c>
      <c r="P65" s="143">
        <f>IFERROR(__xludf.DUMMYFUNCTION("""COMPUTED_VALUE"""),0.05399305555555556)</f>
        <v>0.05399305556</v>
      </c>
      <c r="Q65" s="151"/>
      <c r="R65" s="140"/>
      <c r="S65" s="140"/>
    </row>
    <row r="66" ht="33.75" customHeight="1">
      <c r="A66" s="140"/>
      <c r="B66" s="140"/>
      <c r="C66" s="147">
        <f>IFERROR(__xludf.DUMMYFUNCTION("""COMPUTED_VALUE"""),746307.0)</f>
        <v>746307</v>
      </c>
      <c r="D66" s="148" t="str">
        <f>IFERROR(__xludf.DUMMYFUNCTION("""COMPUTED_VALUE"""),"Consulting Foundations: Client Management and Relationships")</f>
        <v>Consulting Foundations: Client Management and Relationships</v>
      </c>
      <c r="E66" s="147" t="str">
        <f>IFERROR(__xludf.DUMMYFUNCTION("""COMPUTED_VALUE"""),"General")</f>
        <v>General</v>
      </c>
      <c r="F66" s="141" t="str">
        <f>IFERROR(__xludf.DUMMYFUNCTION("""COMPUTED_VALUE"""),"Intermediate")</f>
        <v>Intermediate</v>
      </c>
      <c r="G66" s="143">
        <f>IFERROR(__xludf.DUMMYFUNCTION("""COMPUTED_VALUE"""),0.03082175925925926)</f>
        <v>0.03082175926</v>
      </c>
      <c r="H66" s="151"/>
      <c r="I66" s="140"/>
      <c r="J66" s="140"/>
      <c r="K66" s="140"/>
      <c r="L66" s="147">
        <f>IFERROR(__xludf.DUMMYFUNCTION("""COMPUTED_VALUE"""),2811351.0)</f>
        <v>2811351</v>
      </c>
      <c r="M66" s="148" t="str">
        <f>IFERROR(__xludf.DUMMYFUNCTION("""COMPUTED_VALUE"""),"Practical Success Metrics in Your Training Program")</f>
        <v>Practical Success Metrics in Your Training Program</v>
      </c>
      <c r="N66" s="147" t="str">
        <f>IFERROR(__xludf.DUMMYFUNCTION("""COMPUTED_VALUE"""),"General")</f>
        <v>General</v>
      </c>
      <c r="O66" s="141" t="str">
        <f>IFERROR(__xludf.DUMMYFUNCTION("""COMPUTED_VALUE"""),"Intermediate")</f>
        <v>Intermediate</v>
      </c>
      <c r="P66" s="143">
        <f>IFERROR(__xludf.DUMMYFUNCTION("""COMPUTED_VALUE"""),0.02847222222222222)</f>
        <v>0.02847222222</v>
      </c>
      <c r="Q66" s="151"/>
      <c r="R66" s="140"/>
      <c r="S66" s="140"/>
    </row>
    <row r="67" ht="33.75" customHeight="1">
      <c r="A67" s="140"/>
      <c r="B67" s="140"/>
      <c r="C67" s="147">
        <f>IFERROR(__xludf.DUMMYFUNCTION("""COMPUTED_VALUE"""),758618.0)</f>
        <v>758618</v>
      </c>
      <c r="D67" s="148" t="str">
        <f>IFERROR(__xludf.DUMMYFUNCTION("""COMPUTED_VALUE"""),"Critical Roles Consultants Play (and the Skills You Need to Fill Them)")</f>
        <v>Critical Roles Consultants Play (and the Skills You Need to Fill Them)</v>
      </c>
      <c r="E67" s="147" t="str">
        <f>IFERROR(__xludf.DUMMYFUNCTION("""COMPUTED_VALUE"""),"General")</f>
        <v>General</v>
      </c>
      <c r="F67" s="141" t="str">
        <f>IFERROR(__xludf.DUMMYFUNCTION("""COMPUTED_VALUE"""),"Intermediate")</f>
        <v>Intermediate</v>
      </c>
      <c r="G67" s="143">
        <f>IFERROR(__xludf.DUMMYFUNCTION("""COMPUTED_VALUE"""),0.04957175925925926)</f>
        <v>0.04957175926</v>
      </c>
      <c r="H67" s="151"/>
      <c r="I67" s="140"/>
      <c r="J67" s="140"/>
      <c r="K67" s="140"/>
      <c r="L67" s="147">
        <f>IFERROR(__xludf.DUMMYFUNCTION("""COMPUTED_VALUE"""),2818079.0)</f>
        <v>2818079</v>
      </c>
      <c r="M67" s="148" t="str">
        <f>IFERROR(__xludf.DUMMYFUNCTION("""COMPUTED_VALUE"""),"Diversity Recruiting")</f>
        <v>Diversity Recruiting</v>
      </c>
      <c r="N67" s="147" t="str">
        <f>IFERROR(__xludf.DUMMYFUNCTION("""COMPUTED_VALUE"""),"General")</f>
        <v>General</v>
      </c>
      <c r="O67" s="141" t="str">
        <f>IFERROR(__xludf.DUMMYFUNCTION("""COMPUTED_VALUE"""),"Intermediate")</f>
        <v>Intermediate</v>
      </c>
      <c r="P67" s="143">
        <f>IFERROR(__xludf.DUMMYFUNCTION("""COMPUTED_VALUE"""),0.04577546296296296)</f>
        <v>0.04577546296</v>
      </c>
      <c r="Q67" s="151"/>
      <c r="R67" s="140"/>
      <c r="S67" s="140"/>
    </row>
    <row r="68" ht="33.75" customHeight="1">
      <c r="A68" s="140"/>
      <c r="B68" s="140"/>
      <c r="C68" s="147">
        <f>IFERROR(__xludf.DUMMYFUNCTION("""COMPUTED_VALUE"""),784276.0)</f>
        <v>784276</v>
      </c>
      <c r="D68" s="148" t="str">
        <f>IFERROR(__xludf.DUMMYFUNCTION("""COMPUTED_VALUE"""),"Excel for Investment Professionals")</f>
        <v>Excel for Investment Professionals</v>
      </c>
      <c r="E68" s="147" t="str">
        <f>IFERROR(__xludf.DUMMYFUNCTION("""COMPUTED_VALUE"""),"General")</f>
        <v>General</v>
      </c>
      <c r="F68" s="141" t="str">
        <f>IFERROR(__xludf.DUMMYFUNCTION("""COMPUTED_VALUE"""),"Intermediate")</f>
        <v>Intermediate</v>
      </c>
      <c r="G68" s="143">
        <f>IFERROR(__xludf.DUMMYFUNCTION("""COMPUTED_VALUE"""),0.0821412037037037)</f>
        <v>0.0821412037</v>
      </c>
      <c r="H68" s="151"/>
      <c r="I68" s="140"/>
      <c r="J68" s="140"/>
      <c r="K68" s="140"/>
      <c r="L68" s="147">
        <f>IFERROR(__xludf.DUMMYFUNCTION("""COMPUTED_VALUE"""),2820166.0)</f>
        <v>2820166</v>
      </c>
      <c r="M68" s="148" t="str">
        <f>IFERROR(__xludf.DUMMYFUNCTION("""COMPUTED_VALUE"""),"Interviewing a Job Candidate for Recruiters")</f>
        <v>Interviewing a Job Candidate for Recruiters</v>
      </c>
      <c r="N68" s="147" t="str">
        <f>IFERROR(__xludf.DUMMYFUNCTION("""COMPUTED_VALUE"""),"General")</f>
        <v>General</v>
      </c>
      <c r="O68" s="141" t="str">
        <f>IFERROR(__xludf.DUMMYFUNCTION("""COMPUTED_VALUE"""),"Intermediate")</f>
        <v>Intermediate</v>
      </c>
      <c r="P68" s="143">
        <f>IFERROR(__xludf.DUMMYFUNCTION("""COMPUTED_VALUE"""),0.050069444444444444)</f>
        <v>0.05006944444</v>
      </c>
      <c r="Q68" s="151"/>
      <c r="R68" s="140"/>
      <c r="S68" s="140"/>
    </row>
    <row r="69" ht="33.75" customHeight="1">
      <c r="A69" s="140"/>
      <c r="B69" s="140"/>
      <c r="C69" s="147">
        <f>IFERROR(__xludf.DUMMYFUNCTION("""COMPUTED_VALUE"""),697706.0)</f>
        <v>697706</v>
      </c>
      <c r="D69" s="148" t="str">
        <f>IFERROR(__xludf.DUMMYFUNCTION("""COMPUTED_VALUE"""),"Excel for Corporate Finance Professionals")</f>
        <v>Excel for Corporate Finance Professionals</v>
      </c>
      <c r="E69" s="147" t="str">
        <f>IFERROR(__xludf.DUMMYFUNCTION("""COMPUTED_VALUE"""),"General")</f>
        <v>General</v>
      </c>
      <c r="F69" s="141" t="str">
        <f>IFERROR(__xludf.DUMMYFUNCTION("""COMPUTED_VALUE"""),"Intermediate")</f>
        <v>Intermediate</v>
      </c>
      <c r="G69" s="143">
        <f>IFERROR(__xludf.DUMMYFUNCTION("""COMPUTED_VALUE"""),0.10127314814814815)</f>
        <v>0.1012731481</v>
      </c>
      <c r="H69" s="151"/>
      <c r="I69" s="140"/>
      <c r="J69" s="140"/>
      <c r="K69" s="140"/>
      <c r="L69" s="147">
        <f>IFERROR(__xludf.DUMMYFUNCTION("""COMPUTED_VALUE"""),2822371.0)</f>
        <v>2822371</v>
      </c>
      <c r="M69" s="148" t="str">
        <f>IFERROR(__xludf.DUMMYFUNCTION("""COMPUTED_VALUE"""),"Setting and Managing Realistic Expectations for Your L&amp;D Program")</f>
        <v>Setting and Managing Realistic Expectations for Your L&amp;D Program</v>
      </c>
      <c r="N69" s="147" t="str">
        <f>IFERROR(__xludf.DUMMYFUNCTION("""COMPUTED_VALUE"""),"General")</f>
        <v>General</v>
      </c>
      <c r="O69" s="141" t="str">
        <f>IFERROR(__xludf.DUMMYFUNCTION("""COMPUTED_VALUE"""),"Intermediate")</f>
        <v>Intermediate</v>
      </c>
      <c r="P69" s="143">
        <f>IFERROR(__xludf.DUMMYFUNCTION("""COMPUTED_VALUE"""),0.02140046296296296)</f>
        <v>0.02140046296</v>
      </c>
      <c r="Q69" s="151"/>
      <c r="R69" s="140"/>
      <c r="S69" s="140"/>
    </row>
    <row r="70" ht="33.75" customHeight="1">
      <c r="A70" s="140"/>
      <c r="B70" s="140"/>
      <c r="C70" s="147">
        <f>IFERROR(__xludf.DUMMYFUNCTION("""COMPUTED_VALUE"""),5015860.0)</f>
        <v>5015860</v>
      </c>
      <c r="D70" s="148" t="str">
        <f>IFERROR(__xludf.DUMMYFUNCTION("""COMPUTED_VALUE"""),"Corporate Finance: Robust Financial Modeling")</f>
        <v>Corporate Finance: Robust Financial Modeling</v>
      </c>
      <c r="E70" s="147" t="str">
        <f>IFERROR(__xludf.DUMMYFUNCTION("""COMPUTED_VALUE"""),"General")</f>
        <v>General</v>
      </c>
      <c r="F70" s="141" t="str">
        <f>IFERROR(__xludf.DUMMYFUNCTION("""COMPUTED_VALUE"""),"Intermediate")</f>
        <v>Intermediate</v>
      </c>
      <c r="G70" s="143">
        <f>IFERROR(__xludf.DUMMYFUNCTION("""COMPUTED_VALUE"""),0.030601851851851852)</f>
        <v>0.03060185185</v>
      </c>
      <c r="H70" s="151"/>
      <c r="I70" s="140"/>
      <c r="J70" s="140"/>
      <c r="K70" s="140"/>
      <c r="L70" s="147">
        <f>IFERROR(__xludf.DUMMYFUNCTION("""COMPUTED_VALUE"""),2823546.0)</f>
        <v>2823546</v>
      </c>
      <c r="M70" s="148" t="str">
        <f>IFERROR(__xludf.DUMMYFUNCTION("""COMPUTED_VALUE"""),"Rolling Out a Diversity and Inclusion Training Program in Your Company")</f>
        <v>Rolling Out a Diversity and Inclusion Training Program in Your Company</v>
      </c>
      <c r="N70" s="147" t="str">
        <f>IFERROR(__xludf.DUMMYFUNCTION("""COMPUTED_VALUE"""),"General")</f>
        <v>General</v>
      </c>
      <c r="O70" s="141" t="str">
        <f>IFERROR(__xludf.DUMMYFUNCTION("""COMPUTED_VALUE"""),"Intermediate")</f>
        <v>Intermediate</v>
      </c>
      <c r="P70" s="143">
        <f>IFERROR(__xludf.DUMMYFUNCTION("""COMPUTED_VALUE"""),0.026018518518518517)</f>
        <v>0.02601851852</v>
      </c>
      <c r="Q70" s="151"/>
      <c r="R70" s="140"/>
      <c r="S70" s="140"/>
    </row>
    <row r="71" ht="33.75" customHeight="1">
      <c r="A71" s="140"/>
      <c r="B71" s="140"/>
      <c r="C71" s="147">
        <f>IFERROR(__xludf.DUMMYFUNCTION("""COMPUTED_VALUE"""),609019.0)</f>
        <v>609019</v>
      </c>
      <c r="D71" s="148" t="str">
        <f>IFERROR(__xludf.DUMMYFUNCTION("""COMPUTED_VALUE"""),"Data Analytics for Business Professionals")</f>
        <v>Data Analytics for Business Professionals</v>
      </c>
      <c r="E71" s="147" t="str">
        <f>IFERROR(__xludf.DUMMYFUNCTION("""COMPUTED_VALUE"""),"General")</f>
        <v>General</v>
      </c>
      <c r="F71" s="141" t="str">
        <f>IFERROR(__xludf.DUMMYFUNCTION("""COMPUTED_VALUE"""),"Intermediate")</f>
        <v>Intermediate</v>
      </c>
      <c r="G71" s="143">
        <f>IFERROR(__xludf.DUMMYFUNCTION("""COMPUTED_VALUE"""),0.05386574074074074)</f>
        <v>0.05386574074</v>
      </c>
      <c r="H71" s="151"/>
      <c r="I71" s="140"/>
      <c r="J71" s="140"/>
      <c r="K71" s="140"/>
      <c r="L71" s="147">
        <f>IFERROR(__xludf.DUMMYFUNCTION("""COMPUTED_VALUE"""),2823547.0)</f>
        <v>2823547</v>
      </c>
      <c r="M71" s="148" t="str">
        <f>IFERROR(__xludf.DUMMYFUNCTION("""COMPUTED_VALUE"""),"Managing Misconduct in the Workplace")</f>
        <v>Managing Misconduct in the Workplace</v>
      </c>
      <c r="N71" s="147" t="str">
        <f>IFERROR(__xludf.DUMMYFUNCTION("""COMPUTED_VALUE"""),"General")</f>
        <v>General</v>
      </c>
      <c r="O71" s="141" t="str">
        <f>IFERROR(__xludf.DUMMYFUNCTION("""COMPUTED_VALUE"""),"Intermediate")</f>
        <v>Intermediate</v>
      </c>
      <c r="P71" s="143">
        <f>IFERROR(__xludf.DUMMYFUNCTION("""COMPUTED_VALUE"""),0.018912037037037036)</f>
        <v>0.01891203704</v>
      </c>
      <c r="Q71" s="151"/>
      <c r="R71" s="140"/>
      <c r="S71" s="140"/>
    </row>
    <row r="72" ht="33.75" customHeight="1">
      <c r="A72" s="140"/>
      <c r="B72" s="140"/>
      <c r="C72" s="147">
        <f>IFERROR(__xludf.DUMMYFUNCTION("""COMPUTED_VALUE"""),622076.0)</f>
        <v>622076</v>
      </c>
      <c r="D72" s="148" t="str">
        <f>IFERROR(__xludf.DUMMYFUNCTION("""COMPUTED_VALUE"""),"Algorithmic Trading and Stocks Essential Training")</f>
        <v>Algorithmic Trading and Stocks Essential Training</v>
      </c>
      <c r="E72" s="147" t="str">
        <f>IFERROR(__xludf.DUMMYFUNCTION("""COMPUTED_VALUE"""),"General")</f>
        <v>General</v>
      </c>
      <c r="F72" s="141" t="str">
        <f>IFERROR(__xludf.DUMMYFUNCTION("""COMPUTED_VALUE"""),"Intermediate")</f>
        <v>Intermediate</v>
      </c>
      <c r="G72" s="143">
        <f>IFERROR(__xludf.DUMMYFUNCTION("""COMPUTED_VALUE"""),0.06221064814814815)</f>
        <v>0.06221064815</v>
      </c>
      <c r="H72" s="151"/>
      <c r="I72" s="140"/>
      <c r="J72" s="140"/>
      <c r="K72" s="140"/>
      <c r="L72" s="147">
        <f>IFERROR(__xludf.DUMMYFUNCTION("""COMPUTED_VALUE"""),2976142.0)</f>
        <v>2976142</v>
      </c>
      <c r="M72" s="148" t="str">
        <f>IFERROR(__xludf.DUMMYFUNCTION("""COMPUTED_VALUE"""),"Converting Face-to-Face Training into Digital Learning")</f>
        <v>Converting Face-to-Face Training into Digital Learning</v>
      </c>
      <c r="N72" s="147" t="str">
        <f>IFERROR(__xludf.DUMMYFUNCTION("""COMPUTED_VALUE"""),"General")</f>
        <v>General</v>
      </c>
      <c r="O72" s="141" t="str">
        <f>IFERROR(__xludf.DUMMYFUNCTION("""COMPUTED_VALUE"""),"Intermediate")</f>
        <v>Intermediate</v>
      </c>
      <c r="P72" s="143">
        <f>IFERROR(__xludf.DUMMYFUNCTION("""COMPUTED_VALUE"""),0.044409722222222225)</f>
        <v>0.04440972222</v>
      </c>
      <c r="Q72" s="151"/>
      <c r="R72" s="140"/>
      <c r="S72" s="140"/>
    </row>
    <row r="73" ht="33.75" customHeight="1">
      <c r="A73" s="140"/>
      <c r="B73" s="140"/>
      <c r="C73" s="147">
        <f>IFERROR(__xludf.DUMMYFUNCTION("""COMPUTED_VALUE"""),622077.0)</f>
        <v>622077</v>
      </c>
      <c r="D73" s="148" t="str">
        <f>IFERROR(__xludf.DUMMYFUNCTION("""COMPUTED_VALUE"""),"Data Analytics for Pricing Analysts in Excel")</f>
        <v>Data Analytics for Pricing Analysts in Excel</v>
      </c>
      <c r="E73" s="147" t="str">
        <f>IFERROR(__xludf.DUMMYFUNCTION("""COMPUTED_VALUE"""),"General")</f>
        <v>General</v>
      </c>
      <c r="F73" s="141" t="str">
        <f>IFERROR(__xludf.DUMMYFUNCTION("""COMPUTED_VALUE"""),"Intermediate")</f>
        <v>Intermediate</v>
      </c>
      <c r="G73" s="143">
        <f>IFERROR(__xludf.DUMMYFUNCTION("""COMPUTED_VALUE"""),0.059988425925925924)</f>
        <v>0.05998842593</v>
      </c>
      <c r="H73" s="151"/>
      <c r="I73" s="140"/>
      <c r="J73" s="140"/>
      <c r="K73" s="140"/>
      <c r="L73" s="147">
        <f>IFERROR(__xludf.DUMMYFUNCTION("""COMPUTED_VALUE"""),2822642.0)</f>
        <v>2822642</v>
      </c>
      <c r="M73" s="148" t="str">
        <f>IFERROR(__xludf.DUMMYFUNCTION("""COMPUTED_VALUE"""),"Leadership Mindsets")</f>
        <v>Leadership Mindsets</v>
      </c>
      <c r="N73" s="147" t="str">
        <f>IFERROR(__xludf.DUMMYFUNCTION("""COMPUTED_VALUE"""),"General")</f>
        <v>General</v>
      </c>
      <c r="O73" s="141" t="str">
        <f>IFERROR(__xludf.DUMMYFUNCTION("""COMPUTED_VALUE"""),"Intermediate")</f>
        <v>Intermediate</v>
      </c>
      <c r="P73" s="143">
        <f>IFERROR(__xludf.DUMMYFUNCTION("""COMPUTED_VALUE"""),0.024386574074074074)</f>
        <v>0.02438657407</v>
      </c>
      <c r="Q73" s="151"/>
      <c r="R73" s="140"/>
      <c r="S73" s="140"/>
    </row>
    <row r="74" ht="33.75" customHeight="1">
      <c r="A74" s="140"/>
      <c r="B74" s="140"/>
      <c r="C74" s="147">
        <f>IFERROR(__xludf.DUMMYFUNCTION("""COMPUTED_VALUE"""),672260.0)</f>
        <v>672260</v>
      </c>
      <c r="D74" s="148" t="str">
        <f>IFERROR(__xludf.DUMMYFUNCTION("""COMPUTED_VALUE"""),"SQL for Statistics Essential Training")</f>
        <v>SQL for Statistics Essential Training</v>
      </c>
      <c r="E74" s="147" t="str">
        <f>IFERROR(__xludf.DUMMYFUNCTION("""COMPUTED_VALUE"""),"General")</f>
        <v>General</v>
      </c>
      <c r="F74" s="141" t="str">
        <f>IFERROR(__xludf.DUMMYFUNCTION("""COMPUTED_VALUE"""),"Intermediate")</f>
        <v>Intermediate</v>
      </c>
      <c r="G74" s="143">
        <f>IFERROR(__xludf.DUMMYFUNCTION("""COMPUTED_VALUE"""),0.03418981481481481)</f>
        <v>0.03418981481</v>
      </c>
      <c r="H74" s="151"/>
      <c r="I74" s="140"/>
      <c r="J74" s="140"/>
      <c r="K74" s="140"/>
      <c r="L74" s="147">
        <f>IFERROR(__xludf.DUMMYFUNCTION("""COMPUTED_VALUE"""),2832050.0)</f>
        <v>2832050</v>
      </c>
      <c r="M74" s="148" t="str">
        <f>IFERROR(__xludf.DUMMYFUNCTION("""COMPUTED_VALUE"""),"Running a Design Business: The Staffing Rule Book")</f>
        <v>Running a Design Business: The Staffing Rule Book</v>
      </c>
      <c r="N74" s="147" t="str">
        <f>IFERROR(__xludf.DUMMYFUNCTION("""COMPUTED_VALUE"""),"General")</f>
        <v>General</v>
      </c>
      <c r="O74" s="141" t="str">
        <f>IFERROR(__xludf.DUMMYFUNCTION("""COMPUTED_VALUE"""),"Intermediate")</f>
        <v>Intermediate</v>
      </c>
      <c r="P74" s="143">
        <f>IFERROR(__xludf.DUMMYFUNCTION("""COMPUTED_VALUE"""),0.04538194444444445)</f>
        <v>0.04538194444</v>
      </c>
      <c r="Q74" s="151"/>
      <c r="R74" s="140"/>
      <c r="S74" s="140"/>
    </row>
    <row r="75" ht="33.75" customHeight="1">
      <c r="A75" s="140"/>
      <c r="B75" s="140"/>
      <c r="C75" s="147">
        <f>IFERROR(__xludf.DUMMYFUNCTION("""COMPUTED_VALUE"""),2805906.0)</f>
        <v>2805906</v>
      </c>
      <c r="D75" s="148" t="str">
        <f>IFERROR(__xludf.DUMMYFUNCTION("""COMPUTED_VALUE"""),"Financial Modeling and Forecasting Financial Statements")</f>
        <v>Financial Modeling and Forecasting Financial Statements</v>
      </c>
      <c r="E75" s="147" t="str">
        <f>IFERROR(__xludf.DUMMYFUNCTION("""COMPUTED_VALUE"""),"General")</f>
        <v>General</v>
      </c>
      <c r="F75" s="141" t="str">
        <f>IFERROR(__xludf.DUMMYFUNCTION("""COMPUTED_VALUE"""),"Intermediate")</f>
        <v>Intermediate</v>
      </c>
      <c r="G75" s="143">
        <f>IFERROR(__xludf.DUMMYFUNCTION("""COMPUTED_VALUE"""),0.07908564814814815)</f>
        <v>0.07908564815</v>
      </c>
      <c r="H75" s="151"/>
      <c r="I75" s="140"/>
      <c r="J75" s="140"/>
      <c r="K75" s="140"/>
      <c r="L75" s="147">
        <f>IFERROR(__xludf.DUMMYFUNCTION("""COMPUTED_VALUE"""),651190.0)</f>
        <v>651190</v>
      </c>
      <c r="M75" s="148" t="str">
        <f>IFERROR(__xludf.DUMMYFUNCTION("""COMPUTED_VALUE"""),"Human Resources: Leadership and Strategic Impact")</f>
        <v>Human Resources: Leadership and Strategic Impact</v>
      </c>
      <c r="N75" s="147" t="str">
        <f>IFERROR(__xludf.DUMMYFUNCTION("""COMPUTED_VALUE"""),"General")</f>
        <v>General</v>
      </c>
      <c r="O75" s="141" t="str">
        <f>IFERROR(__xludf.DUMMYFUNCTION("""COMPUTED_VALUE"""),"Advanced")</f>
        <v>Advanced</v>
      </c>
      <c r="P75" s="143">
        <f>IFERROR(__xludf.DUMMYFUNCTION("""COMPUTED_VALUE"""),0.061342592592592594)</f>
        <v>0.06134259259</v>
      </c>
      <c r="Q75" s="151"/>
      <c r="R75" s="140"/>
      <c r="S75" s="140"/>
    </row>
    <row r="76" ht="33.75" customHeight="1">
      <c r="A76" s="140"/>
      <c r="B76" s="140"/>
      <c r="C76" s="147">
        <f>IFERROR(__xludf.DUMMYFUNCTION("""COMPUTED_VALUE"""),2815054.0)</f>
        <v>2815054</v>
      </c>
      <c r="D76" s="148" t="str">
        <f>IFERROR(__xludf.DUMMYFUNCTION("""COMPUTED_VALUE"""),"Accounting Foundations: Leases")</f>
        <v>Accounting Foundations: Leases</v>
      </c>
      <c r="E76" s="147" t="str">
        <f>IFERROR(__xludf.DUMMYFUNCTION("""COMPUTED_VALUE"""),"General")</f>
        <v>General</v>
      </c>
      <c r="F76" s="141" t="str">
        <f>IFERROR(__xludf.DUMMYFUNCTION("""COMPUTED_VALUE"""),"Intermediate")</f>
        <v>Intermediate</v>
      </c>
      <c r="G76" s="143">
        <f>IFERROR(__xludf.DUMMYFUNCTION("""COMPUTED_VALUE"""),0.07209490740740741)</f>
        <v>0.07209490741</v>
      </c>
      <c r="H76" s="151"/>
      <c r="I76" s="140"/>
      <c r="J76" s="140"/>
      <c r="K76" s="140"/>
      <c r="L76" s="147">
        <f>IFERROR(__xludf.DUMMYFUNCTION("""COMPUTED_VALUE"""),639058.0)</f>
        <v>639058</v>
      </c>
      <c r="M76" s="148" t="str">
        <f>IFERROR(__xludf.DUMMYFUNCTION("""COMPUTED_VALUE"""),"Human Resources: Selecting an HR System")</f>
        <v>Human Resources: Selecting an HR System</v>
      </c>
      <c r="N76" s="147" t="str">
        <f>IFERROR(__xludf.DUMMYFUNCTION("""COMPUTED_VALUE"""),"General")</f>
        <v>General</v>
      </c>
      <c r="O76" s="141" t="str">
        <f>IFERROR(__xludf.DUMMYFUNCTION("""COMPUTED_VALUE"""),"Advanced")</f>
        <v>Advanced</v>
      </c>
      <c r="P76" s="143">
        <f>IFERROR(__xludf.DUMMYFUNCTION("""COMPUTED_VALUE"""),0.025497685185185186)</f>
        <v>0.02549768519</v>
      </c>
      <c r="Q76" s="151"/>
      <c r="R76" s="140"/>
      <c r="S76" s="140"/>
    </row>
    <row r="77" ht="33.75" customHeight="1">
      <c r="A77" s="140"/>
      <c r="B77" s="140"/>
      <c r="C77" s="147">
        <f>IFERROR(__xludf.DUMMYFUNCTION("""COMPUTED_VALUE"""),2823100.0)</f>
        <v>2823100</v>
      </c>
      <c r="D77" s="148" t="str">
        <f>IFERROR(__xludf.DUMMYFUNCTION("""COMPUTED_VALUE"""),"Excel: Implementing Balanced Scorecards with KPIs")</f>
        <v>Excel: Implementing Balanced Scorecards with KPIs</v>
      </c>
      <c r="E77" s="147" t="str">
        <f>IFERROR(__xludf.DUMMYFUNCTION("""COMPUTED_VALUE"""),"General")</f>
        <v>General</v>
      </c>
      <c r="F77" s="141" t="str">
        <f>IFERROR(__xludf.DUMMYFUNCTION("""COMPUTED_VALUE"""),"Intermediate")</f>
        <v>Intermediate</v>
      </c>
      <c r="G77" s="143">
        <f>IFERROR(__xludf.DUMMYFUNCTION("""COMPUTED_VALUE"""),0.04454861111111111)</f>
        <v>0.04454861111</v>
      </c>
      <c r="H77" s="151"/>
      <c r="I77" s="140"/>
      <c r="J77" s="140"/>
      <c r="K77" s="140"/>
      <c r="L77" s="147">
        <f>IFERROR(__xludf.DUMMYFUNCTION("""COMPUTED_VALUE"""),669536.0)</f>
        <v>669536</v>
      </c>
      <c r="M77" s="148" t="str">
        <f>IFERROR(__xludf.DUMMYFUNCTION("""COMPUTED_VALUE"""),"Human Resources: Strategic Workforce Planning")</f>
        <v>Human Resources: Strategic Workforce Planning</v>
      </c>
      <c r="N77" s="147" t="str">
        <f>IFERROR(__xludf.DUMMYFUNCTION("""COMPUTED_VALUE"""),"General")</f>
        <v>General</v>
      </c>
      <c r="O77" s="141" t="str">
        <f>IFERROR(__xludf.DUMMYFUNCTION("""COMPUTED_VALUE"""),"Advanced")</f>
        <v>Advanced</v>
      </c>
      <c r="P77" s="143">
        <f>IFERROR(__xludf.DUMMYFUNCTION("""COMPUTED_VALUE"""),0.03962962962962963)</f>
        <v>0.03962962963</v>
      </c>
      <c r="Q77" s="151"/>
      <c r="R77" s="140"/>
      <c r="S77" s="140"/>
    </row>
    <row r="78" ht="33.75" customHeight="1">
      <c r="A78" s="140"/>
      <c r="B78" s="140"/>
      <c r="C78" s="147">
        <f>IFERROR(__xludf.DUMMYFUNCTION("""COMPUTED_VALUE"""),2825033.0)</f>
        <v>2825033</v>
      </c>
      <c r="D78" s="148" t="str">
        <f>IFERROR(__xludf.DUMMYFUNCTION("""COMPUTED_VALUE"""),"Accounting Foundations: Internal Controls")</f>
        <v>Accounting Foundations: Internal Controls</v>
      </c>
      <c r="E78" s="147" t="str">
        <f>IFERROR(__xludf.DUMMYFUNCTION("""COMPUTED_VALUE"""),"General")</f>
        <v>General</v>
      </c>
      <c r="F78" s="141" t="str">
        <f>IFERROR(__xludf.DUMMYFUNCTION("""COMPUTED_VALUE"""),"Intermediate")</f>
        <v>Intermediate</v>
      </c>
      <c r="G78" s="143">
        <f>IFERROR(__xludf.DUMMYFUNCTION("""COMPUTED_VALUE"""),0.07377314814814814)</f>
        <v>0.07377314815</v>
      </c>
      <c r="H78" s="151"/>
      <c r="I78" s="140"/>
      <c r="J78" s="140"/>
      <c r="K78" s="140"/>
      <c r="L78" s="147">
        <f>IFERROR(__xludf.DUMMYFUNCTION("""COMPUTED_VALUE"""),5022330.0)</f>
        <v>5022330</v>
      </c>
      <c r="M78" s="148" t="str">
        <f>IFERROR(__xludf.DUMMYFUNCTION("""COMPUTED_VALUE"""),"People Analytics")</f>
        <v>People Analytics</v>
      </c>
      <c r="N78" s="147" t="str">
        <f>IFERROR(__xludf.DUMMYFUNCTION("""COMPUTED_VALUE"""),"General")</f>
        <v>General</v>
      </c>
      <c r="O78" s="141" t="str">
        <f>IFERROR(__xludf.DUMMYFUNCTION("""COMPUTED_VALUE"""),"Advanced")</f>
        <v>Advanced</v>
      </c>
      <c r="P78" s="143">
        <f>IFERROR(__xludf.DUMMYFUNCTION("""COMPUTED_VALUE"""),0.024780092592592593)</f>
        <v>0.02478009259</v>
      </c>
      <c r="Q78" s="151"/>
      <c r="R78" s="140"/>
      <c r="S78" s="140"/>
    </row>
    <row r="79" ht="33.75" customHeight="1">
      <c r="A79" s="140"/>
      <c r="B79" s="140"/>
      <c r="C79" s="147">
        <f>IFERROR(__xludf.DUMMYFUNCTION("""COMPUTED_VALUE"""),2805121.0)</f>
        <v>2805121</v>
      </c>
      <c r="D79" s="148" t="str">
        <f>IFERROR(__xludf.DUMMYFUNCTION("""COMPUTED_VALUE"""),"Evaluating Business Investment Decisions")</f>
        <v>Evaluating Business Investment Decisions</v>
      </c>
      <c r="E79" s="147" t="str">
        <f>IFERROR(__xludf.DUMMYFUNCTION("""COMPUTED_VALUE"""),"General")</f>
        <v>General</v>
      </c>
      <c r="F79" s="141" t="str">
        <f>IFERROR(__xludf.DUMMYFUNCTION("""COMPUTED_VALUE"""),"Intermediate")</f>
        <v>Intermediate</v>
      </c>
      <c r="G79" s="143">
        <f>IFERROR(__xludf.DUMMYFUNCTION("""COMPUTED_VALUE"""),0.03469907407407408)</f>
        <v>0.03469907407</v>
      </c>
      <c r="H79" s="151"/>
      <c r="I79" s="140"/>
      <c r="J79" s="140"/>
      <c r="K79" s="140"/>
      <c r="L79" s="147">
        <f>IFERROR(__xludf.DUMMYFUNCTION("""COMPUTED_VALUE"""),2812133.0)</f>
        <v>2812133</v>
      </c>
      <c r="M79" s="148" t="str">
        <f>IFERROR(__xludf.DUMMYFUNCTION("""COMPUTED_VALUE"""),"Using Neuroscience for More Effective L&amp;D")</f>
        <v>Using Neuroscience for More Effective L&amp;D</v>
      </c>
      <c r="N79" s="147" t="str">
        <f>IFERROR(__xludf.DUMMYFUNCTION("""COMPUTED_VALUE"""),"General")</f>
        <v>General</v>
      </c>
      <c r="O79" s="141" t="str">
        <f>IFERROR(__xludf.DUMMYFUNCTION("""COMPUTED_VALUE"""),"Advanced")</f>
        <v>Advanced</v>
      </c>
      <c r="P79" s="143">
        <f>IFERROR(__xludf.DUMMYFUNCTION("""COMPUTED_VALUE"""),0.047546296296296295)</f>
        <v>0.0475462963</v>
      </c>
      <c r="Q79" s="151"/>
      <c r="R79" s="140"/>
      <c r="S79" s="140"/>
    </row>
    <row r="80" ht="33.75" customHeight="1">
      <c r="A80" s="140"/>
      <c r="B80" s="140"/>
      <c r="C80" s="147">
        <f>IFERROR(__xludf.DUMMYFUNCTION("""COMPUTED_VALUE"""),5019813.0)</f>
        <v>5019813</v>
      </c>
      <c r="D80" s="148" t="str">
        <f>IFERROR(__xludf.DUMMYFUNCTION("""COMPUTED_VALUE"""),"AI in Fintech Essential Training")</f>
        <v>AI in Fintech Essential Training</v>
      </c>
      <c r="E80" s="147" t="str">
        <f>IFERROR(__xludf.DUMMYFUNCTION("""COMPUTED_VALUE"""),"General")</f>
        <v>General</v>
      </c>
      <c r="F80" s="141" t="str">
        <f>IFERROR(__xludf.DUMMYFUNCTION("""COMPUTED_VALUE"""),"Intermediate")</f>
        <v>Intermediate</v>
      </c>
      <c r="G80" s="143">
        <f>IFERROR(__xludf.DUMMYFUNCTION("""COMPUTED_VALUE"""),0.06487268518518519)</f>
        <v>0.06487268519</v>
      </c>
      <c r="H80" s="151"/>
      <c r="I80" s="140"/>
      <c r="J80" s="140"/>
      <c r="K80" s="140"/>
      <c r="L80" s="147">
        <f>IFERROR(__xludf.DUMMYFUNCTION("""COMPUTED_VALUE"""),2820164.0)</f>
        <v>2820164</v>
      </c>
      <c r="M80" s="148" t="str">
        <f>IFERROR(__xludf.DUMMYFUNCTION("""COMPUTED_VALUE"""),"Human Resources: Pay Strategy")</f>
        <v>Human Resources: Pay Strategy</v>
      </c>
      <c r="N80" s="147" t="str">
        <f>IFERROR(__xludf.DUMMYFUNCTION("""COMPUTED_VALUE"""),"General")</f>
        <v>General</v>
      </c>
      <c r="O80" s="141" t="str">
        <f>IFERROR(__xludf.DUMMYFUNCTION("""COMPUTED_VALUE"""),"Advanced")</f>
        <v>Advanced</v>
      </c>
      <c r="P80" s="143">
        <f>IFERROR(__xludf.DUMMYFUNCTION("""COMPUTED_VALUE"""),0.022164351851851852)</f>
        <v>0.02216435185</v>
      </c>
      <c r="Q80" s="151"/>
      <c r="R80" s="140"/>
      <c r="S80" s="140"/>
    </row>
    <row r="81" ht="33.75" customHeight="1">
      <c r="A81" s="140"/>
      <c r="B81" s="140"/>
      <c r="C81" s="147">
        <f>IFERROR(__xludf.DUMMYFUNCTION("""COMPUTED_VALUE"""),2823136.0)</f>
        <v>2823136</v>
      </c>
      <c r="D81" s="150" t="str">
        <f>IFERROR(__xludf.DUMMYFUNCTION("""COMPUTED_VALUE"""),"Accounting Foundations: Cost-Based Pricing Strategies")</f>
        <v>Accounting Foundations: Cost-Based Pricing Strategies</v>
      </c>
      <c r="E81" s="147" t="str">
        <f>IFERROR(__xludf.DUMMYFUNCTION("""COMPUTED_VALUE"""),"General")</f>
        <v>General</v>
      </c>
      <c r="F81" s="141" t="str">
        <f>IFERROR(__xludf.DUMMYFUNCTION("""COMPUTED_VALUE"""),"Intermediate")</f>
        <v>Intermediate</v>
      </c>
      <c r="G81" s="143">
        <f>IFERROR(__xludf.DUMMYFUNCTION("""COMPUTED_VALUE"""),0.060856481481481484)</f>
        <v>0.06085648148</v>
      </c>
      <c r="H81" s="151"/>
      <c r="I81" s="140"/>
      <c r="J81" s="140"/>
      <c r="K81" s="140"/>
      <c r="L81" s="147">
        <f>IFERROR(__xludf.DUMMYFUNCTION("""COMPUTED_VALUE"""),2851002.0)</f>
        <v>2851002</v>
      </c>
      <c r="M81" s="150" t="str">
        <f>IFERROR(__xludf.DUMMYFUNCTION("""COMPUTED_VALUE"""),"Privacy in the New World of Work")</f>
        <v>Privacy in the New World of Work</v>
      </c>
      <c r="N81" s="147" t="str">
        <f>IFERROR(__xludf.DUMMYFUNCTION("""COMPUTED_VALUE"""),"General")</f>
        <v>General</v>
      </c>
      <c r="O81" s="141" t="str">
        <f>IFERROR(__xludf.DUMMYFUNCTION("""COMPUTED_VALUE"""),"Advanced")</f>
        <v>Advanced</v>
      </c>
      <c r="P81" s="143">
        <f>IFERROR(__xludf.DUMMYFUNCTION("""COMPUTED_VALUE"""),0.01866898148148148)</f>
        <v>0.01866898148</v>
      </c>
      <c r="Q81" s="151"/>
      <c r="R81" s="140"/>
      <c r="S81" s="140"/>
    </row>
    <row r="82" ht="33.75" customHeight="1">
      <c r="A82" s="140"/>
      <c r="B82" s="140"/>
      <c r="C82" s="147">
        <f>IFERROR(__xludf.DUMMYFUNCTION("""COMPUTED_VALUE"""),2823389.0)</f>
        <v>2823389</v>
      </c>
      <c r="D82" s="150" t="str">
        <f>IFERROR(__xludf.DUMMYFUNCTION("""COMPUTED_VALUE"""),"Economics for Business Leaders")</f>
        <v>Economics for Business Leaders</v>
      </c>
      <c r="E82" s="147" t="str">
        <f>IFERROR(__xludf.DUMMYFUNCTION("""COMPUTED_VALUE"""),"General")</f>
        <v>General</v>
      </c>
      <c r="F82" s="141" t="str">
        <f>IFERROR(__xludf.DUMMYFUNCTION("""COMPUTED_VALUE"""),"Intermediate")</f>
        <v>Intermediate</v>
      </c>
      <c r="G82" s="143">
        <f>IFERROR(__xludf.DUMMYFUNCTION("""COMPUTED_VALUE"""),0.034409722222222223)</f>
        <v>0.03440972222</v>
      </c>
      <c r="H82" s="151"/>
      <c r="I82" s="140"/>
      <c r="J82" s="140"/>
      <c r="K82" s="140"/>
      <c r="L82" s="147">
        <f>IFERROR(__xludf.DUMMYFUNCTION("""COMPUTED_VALUE"""),5028612.0)</f>
        <v>5028612</v>
      </c>
      <c r="M82" s="150" t="str">
        <f>IFERROR(__xludf.DUMMYFUNCTION("""COMPUTED_VALUE"""),"Bystander Training: From Bystander to Upstander")</f>
        <v>Bystander Training: From Bystander to Upstander</v>
      </c>
      <c r="N82" s="147" t="str">
        <f>IFERROR(__xludf.DUMMYFUNCTION("""COMPUTED_VALUE"""),"General")</f>
        <v>General</v>
      </c>
      <c r="O82" s="141" t="str">
        <f>IFERROR(__xludf.DUMMYFUNCTION("""COMPUTED_VALUE"""),"General")</f>
        <v>General</v>
      </c>
      <c r="P82" s="143">
        <f>IFERROR(__xludf.DUMMYFUNCTION("""COMPUTED_VALUE"""),0.02847222222222222)</f>
        <v>0.02847222222</v>
      </c>
      <c r="Q82" s="151"/>
      <c r="R82" s="140"/>
      <c r="S82" s="140"/>
    </row>
    <row r="83" ht="33.75" customHeight="1">
      <c r="A83" s="140"/>
      <c r="B83" s="140"/>
      <c r="C83" s="147">
        <f>IFERROR(__xludf.DUMMYFUNCTION("""COMPUTED_VALUE"""),2873324.0)</f>
        <v>2873324</v>
      </c>
      <c r="D83" s="150" t="str">
        <f>IFERROR(__xludf.DUMMYFUNCTION("""COMPUTED_VALUE"""),"Accounting Foundations: Global Finance and Accounting")</f>
        <v>Accounting Foundations: Global Finance and Accounting</v>
      </c>
      <c r="E83" s="147" t="str">
        <f>IFERROR(__xludf.DUMMYFUNCTION("""COMPUTED_VALUE"""),"General")</f>
        <v>General</v>
      </c>
      <c r="F83" s="141" t="str">
        <f>IFERROR(__xludf.DUMMYFUNCTION("""COMPUTED_VALUE"""),"Intermediate")</f>
        <v>Intermediate</v>
      </c>
      <c r="G83" s="143">
        <f>IFERROR(__xludf.DUMMYFUNCTION("""COMPUTED_VALUE"""),0.07424768518518518)</f>
        <v>0.07424768519</v>
      </c>
      <c r="H83" s="151"/>
      <c r="I83" s="140"/>
      <c r="J83" s="140"/>
      <c r="K83" s="140"/>
      <c r="L83" s="147">
        <f>IFERROR(__xludf.DUMMYFUNCTION("""COMPUTED_VALUE"""),716048.0)</f>
        <v>716048</v>
      </c>
      <c r="M83" s="150" t="str">
        <f>IFERROR(__xludf.DUMMYFUNCTION("""COMPUTED_VALUE"""),"Preventing Harassment in the Workplace")</f>
        <v>Preventing Harassment in the Workplace</v>
      </c>
      <c r="N83" s="147" t="str">
        <f>IFERROR(__xludf.DUMMYFUNCTION("""COMPUTED_VALUE"""),"General")</f>
        <v>General</v>
      </c>
      <c r="O83" s="141" t="str">
        <f>IFERROR(__xludf.DUMMYFUNCTION("""COMPUTED_VALUE"""),"General")</f>
        <v>General</v>
      </c>
      <c r="P83" s="143">
        <f>IFERROR(__xludf.DUMMYFUNCTION("""COMPUTED_VALUE"""),0.039247685185185184)</f>
        <v>0.03924768519</v>
      </c>
      <c r="Q83" s="151"/>
      <c r="R83" s="140"/>
      <c r="S83" s="140"/>
    </row>
    <row r="84" ht="33.75" customHeight="1">
      <c r="A84" s="140"/>
      <c r="B84" s="140"/>
      <c r="C84" s="147">
        <f>IFERROR(__xludf.DUMMYFUNCTION("""COMPUTED_VALUE"""),2882184.0)</f>
        <v>2882184</v>
      </c>
      <c r="D84" s="150" t="str">
        <f>IFERROR(__xludf.DUMMYFUNCTION("""COMPUTED_VALUE"""),"Audit and Due Diligence: Priorities and Best Practices")</f>
        <v>Audit and Due Diligence: Priorities and Best Practices</v>
      </c>
      <c r="E84" s="147" t="str">
        <f>IFERROR(__xludf.DUMMYFUNCTION("""COMPUTED_VALUE"""),"General")</f>
        <v>General</v>
      </c>
      <c r="F84" s="141" t="str">
        <f>IFERROR(__xludf.DUMMYFUNCTION("""COMPUTED_VALUE"""),"Intermediate")</f>
        <v>Intermediate</v>
      </c>
      <c r="G84" s="143">
        <f>IFERROR(__xludf.DUMMYFUNCTION("""COMPUTED_VALUE"""),0.01747685185185185)</f>
        <v>0.01747685185</v>
      </c>
      <c r="H84" s="151"/>
      <c r="I84" s="140"/>
      <c r="J84" s="140"/>
      <c r="K84" s="140"/>
      <c r="L84" s="147">
        <f>IFERROR(__xludf.DUMMYFUNCTION("""COMPUTED_VALUE"""),2860033.0)</f>
        <v>2860033</v>
      </c>
      <c r="M84" s="150" t="str">
        <f>IFERROR(__xludf.DUMMYFUNCTION("""COMPUTED_VALUE"""),"Adding Value through Diversity")</f>
        <v>Adding Value through Diversity</v>
      </c>
      <c r="N84" s="147" t="str">
        <f>IFERROR(__xludf.DUMMYFUNCTION("""COMPUTED_VALUE"""),"General")</f>
        <v>General</v>
      </c>
      <c r="O84" s="141" t="str">
        <f>IFERROR(__xludf.DUMMYFUNCTION("""COMPUTED_VALUE"""),"General")</f>
        <v>General</v>
      </c>
      <c r="P84" s="143">
        <f>IFERROR(__xludf.DUMMYFUNCTION("""COMPUTED_VALUE"""),0.04050925925925926)</f>
        <v>0.04050925926</v>
      </c>
      <c r="Q84" s="151"/>
      <c r="R84" s="140"/>
      <c r="S84" s="140"/>
    </row>
    <row r="85" ht="33.75" customHeight="1">
      <c r="A85" s="140"/>
      <c r="B85" s="140"/>
      <c r="C85" s="147">
        <f>IFERROR(__xludf.DUMMYFUNCTION("""COMPUTED_VALUE"""),2880137.0)</f>
        <v>2880137</v>
      </c>
      <c r="D85" s="150" t="str">
        <f>IFERROR(__xludf.DUMMYFUNCTION("""COMPUTED_VALUE"""),"Excel Modeling Tips and Tricks")</f>
        <v>Excel Modeling Tips and Tricks</v>
      </c>
      <c r="E85" s="147" t="str">
        <f>IFERROR(__xludf.DUMMYFUNCTION("""COMPUTED_VALUE"""),"General")</f>
        <v>General</v>
      </c>
      <c r="F85" s="141" t="str">
        <f>IFERROR(__xludf.DUMMYFUNCTION("""COMPUTED_VALUE"""),"Intermediate")</f>
        <v>Intermediate</v>
      </c>
      <c r="G85" s="143">
        <f>IFERROR(__xludf.DUMMYFUNCTION("""COMPUTED_VALUE"""),0.0811111111111111)</f>
        <v>0.08111111111</v>
      </c>
      <c r="H85" s="151"/>
      <c r="I85" s="140"/>
      <c r="J85" s="140"/>
      <c r="K85" s="140"/>
      <c r="L85" s="147">
        <f>IFERROR(__xludf.DUMMYFUNCTION("""COMPUTED_VALUE"""),2824355.0)</f>
        <v>2824355</v>
      </c>
      <c r="M85" s="150" t="str">
        <f>IFERROR(__xludf.DUMMYFUNCTION("""COMPUTED_VALUE"""),"Addiction: A Community Issue")</f>
        <v>Addiction: A Community Issue</v>
      </c>
      <c r="N85" s="147" t="str">
        <f>IFERROR(__xludf.DUMMYFUNCTION("""COMPUTED_VALUE"""),"General")</f>
        <v>General</v>
      </c>
      <c r="O85" s="141" t="str">
        <f>IFERROR(__xludf.DUMMYFUNCTION("""COMPUTED_VALUE"""),"General")</f>
        <v>General</v>
      </c>
      <c r="P85" s="143">
        <f>IFERROR(__xludf.DUMMYFUNCTION("""COMPUTED_VALUE"""),0.03577546296296296)</f>
        <v>0.03577546296</v>
      </c>
      <c r="Q85" s="151"/>
      <c r="R85" s="140"/>
      <c r="S85" s="140"/>
    </row>
    <row r="86" ht="33.75" customHeight="1">
      <c r="A86" s="140"/>
      <c r="B86" s="140"/>
      <c r="C86" s="147">
        <f>IFERROR(__xludf.DUMMYFUNCTION("""COMPUTED_VALUE"""),2885198.0)</f>
        <v>2885198</v>
      </c>
      <c r="D86" s="150" t="str">
        <f>IFERROR(__xludf.DUMMYFUNCTION("""COMPUTED_VALUE"""),"The Future of Audit")</f>
        <v>The Future of Audit</v>
      </c>
      <c r="E86" s="147" t="str">
        <f>IFERROR(__xludf.DUMMYFUNCTION("""COMPUTED_VALUE"""),"General")</f>
        <v>General</v>
      </c>
      <c r="F86" s="141" t="str">
        <f>IFERROR(__xludf.DUMMYFUNCTION("""COMPUTED_VALUE"""),"Intermediate")</f>
        <v>Intermediate</v>
      </c>
      <c r="G86" s="143">
        <f>IFERROR(__xludf.DUMMYFUNCTION("""COMPUTED_VALUE"""),0.015590277777777778)</f>
        <v>0.01559027778</v>
      </c>
      <c r="H86" s="151"/>
      <c r="I86" s="140"/>
      <c r="J86" s="140"/>
      <c r="K86" s="140"/>
      <c r="L86" s="147"/>
      <c r="M86" s="159"/>
      <c r="N86" s="147"/>
      <c r="O86" s="141"/>
      <c r="P86" s="143"/>
      <c r="Q86" s="151"/>
      <c r="R86" s="140"/>
      <c r="S86" s="140"/>
    </row>
    <row r="87" ht="33.75" customHeight="1">
      <c r="A87" s="140"/>
      <c r="B87" s="140"/>
      <c r="C87" s="147">
        <f>IFERROR(__xludf.DUMMYFUNCTION("""COMPUTED_VALUE"""),2878184.0)</f>
        <v>2878184</v>
      </c>
      <c r="D87" s="150" t="str">
        <f>IFERROR(__xludf.DUMMYFUNCTION("""COMPUTED_VALUE"""),"QuickBooks Online Tips and Tricks")</f>
        <v>QuickBooks Online Tips and Tricks</v>
      </c>
      <c r="E87" s="147" t="str">
        <f>IFERROR(__xludf.DUMMYFUNCTION("""COMPUTED_VALUE"""),"General")</f>
        <v>General</v>
      </c>
      <c r="F87" s="141" t="str">
        <f>IFERROR(__xludf.DUMMYFUNCTION("""COMPUTED_VALUE"""),"Intermediate")</f>
        <v>Intermediate</v>
      </c>
      <c r="G87" s="143">
        <f>IFERROR(__xludf.DUMMYFUNCTION("""COMPUTED_VALUE"""),0.056851851851851855)</f>
        <v>0.05685185185</v>
      </c>
      <c r="H87" s="151"/>
      <c r="I87" s="140"/>
      <c r="J87" s="140"/>
      <c r="K87" s="140"/>
      <c r="L87" s="147"/>
      <c r="M87" s="159"/>
      <c r="N87" s="147"/>
      <c r="O87" s="141"/>
      <c r="P87" s="143"/>
      <c r="Q87" s="151"/>
      <c r="R87" s="140"/>
      <c r="S87" s="140"/>
    </row>
    <row r="88" ht="33.75" customHeight="1">
      <c r="A88" s="140"/>
      <c r="B88" s="140"/>
      <c r="C88" s="147">
        <f>IFERROR(__xludf.DUMMYFUNCTION("""COMPUTED_VALUE"""),2835070.0)</f>
        <v>2835070</v>
      </c>
      <c r="D88" s="150" t="str">
        <f>IFERROR(__xludf.DUMMYFUNCTION("""COMPUTED_VALUE"""),"The Business of Accounting")</f>
        <v>The Business of Accounting</v>
      </c>
      <c r="E88" s="147" t="str">
        <f>IFERROR(__xludf.DUMMYFUNCTION("""COMPUTED_VALUE"""),"General")</f>
        <v>General</v>
      </c>
      <c r="F88" s="141" t="str">
        <f>IFERROR(__xludf.DUMMYFUNCTION("""COMPUTED_VALUE"""),"Intermediate")</f>
        <v>Intermediate</v>
      </c>
      <c r="G88" s="143">
        <f>IFERROR(__xludf.DUMMYFUNCTION("""COMPUTED_VALUE"""),0.02914351851851852)</f>
        <v>0.02914351852</v>
      </c>
      <c r="H88" s="151"/>
      <c r="I88" s="140"/>
      <c r="J88" s="140"/>
      <c r="K88" s="140"/>
      <c r="L88" s="147"/>
      <c r="M88" s="159"/>
      <c r="N88" s="147"/>
      <c r="O88" s="141"/>
      <c r="P88" s="143"/>
      <c r="Q88" s="151"/>
      <c r="R88" s="140"/>
      <c r="S88" s="140"/>
    </row>
    <row r="89" ht="33.75" customHeight="1">
      <c r="A89" s="140"/>
      <c r="B89" s="140"/>
      <c r="C89" s="147">
        <f>IFERROR(__xludf.DUMMYFUNCTION("""COMPUTED_VALUE"""),2885259.0)</f>
        <v>2885259</v>
      </c>
      <c r="D89" s="150" t="str">
        <f>IFERROR(__xludf.DUMMYFUNCTION("""COMPUTED_VALUE"""),"Accounting Foundations: Statement of Cash Flows")</f>
        <v>Accounting Foundations: Statement of Cash Flows</v>
      </c>
      <c r="E89" s="147" t="str">
        <f>IFERROR(__xludf.DUMMYFUNCTION("""COMPUTED_VALUE"""),"General")</f>
        <v>General</v>
      </c>
      <c r="F89" s="141" t="str">
        <f>IFERROR(__xludf.DUMMYFUNCTION("""COMPUTED_VALUE"""),"Intermediate")</f>
        <v>Intermediate</v>
      </c>
      <c r="G89" s="143">
        <f>IFERROR(__xludf.DUMMYFUNCTION("""COMPUTED_VALUE"""),0.0759375)</f>
        <v>0.0759375</v>
      </c>
      <c r="H89" s="151"/>
      <c r="I89" s="140"/>
      <c r="J89" s="140"/>
      <c r="K89" s="140"/>
      <c r="L89" s="147"/>
      <c r="M89" s="159"/>
      <c r="N89" s="147"/>
      <c r="O89" s="141"/>
      <c r="P89" s="143"/>
      <c r="Q89" s="151"/>
      <c r="R89" s="140"/>
      <c r="S89" s="140"/>
    </row>
    <row r="90" ht="33.75" customHeight="1">
      <c r="A90" s="140"/>
      <c r="B90" s="140"/>
      <c r="C90" s="147">
        <f>IFERROR(__xludf.DUMMYFUNCTION("""COMPUTED_VALUE"""),3156783.0)</f>
        <v>3156783</v>
      </c>
      <c r="D90" s="150" t="str">
        <f>IFERROR(__xludf.DUMMYFUNCTION("""COMPUTED_VALUE"""),"Finance Foundations: Corporate Governanace")</f>
        <v>Finance Foundations: Corporate Governanace</v>
      </c>
      <c r="E90" s="147" t="str">
        <f>IFERROR(__xludf.DUMMYFUNCTION("""COMPUTED_VALUE"""),"General")</f>
        <v>General</v>
      </c>
      <c r="F90" s="141" t="str">
        <f>IFERROR(__xludf.DUMMYFUNCTION("""COMPUTED_VALUE"""),"Intermediate")</f>
        <v>Intermediate</v>
      </c>
      <c r="G90" s="143">
        <f>IFERROR(__xludf.DUMMYFUNCTION("""COMPUTED_VALUE"""),0.08554398148148148)</f>
        <v>0.08554398148</v>
      </c>
      <c r="H90" s="151"/>
      <c r="I90" s="140"/>
      <c r="J90" s="140"/>
      <c r="K90" s="140"/>
      <c r="L90" s="147"/>
      <c r="M90" s="159"/>
      <c r="N90" s="147"/>
      <c r="O90" s="141"/>
      <c r="P90" s="143"/>
      <c r="Q90" s="151"/>
      <c r="R90" s="140"/>
      <c r="S90" s="140"/>
    </row>
    <row r="91" ht="33.75" customHeight="1">
      <c r="A91" s="140"/>
      <c r="B91" s="140"/>
      <c r="C91" s="147">
        <f>IFERROR(__xludf.DUMMYFUNCTION("""COMPUTED_VALUE"""),3006177.0)</f>
        <v>3006177</v>
      </c>
      <c r="D91" s="150" t="str">
        <f>IFERROR(__xludf.DUMMYFUNCTION("""COMPUTED_VALUE"""),"Financial Literacy for Employees")</f>
        <v>Financial Literacy for Employees</v>
      </c>
      <c r="E91" s="147" t="str">
        <f>IFERROR(__xludf.DUMMYFUNCTION("""COMPUTED_VALUE"""),"General")</f>
        <v>General</v>
      </c>
      <c r="F91" s="141" t="str">
        <f>IFERROR(__xludf.DUMMYFUNCTION("""COMPUTED_VALUE"""),"General")</f>
        <v>General</v>
      </c>
      <c r="G91" s="143">
        <f>IFERROR(__xludf.DUMMYFUNCTION("""COMPUTED_VALUE"""),0.07613425925925926)</f>
        <v>0.07613425926</v>
      </c>
      <c r="H91" s="151"/>
      <c r="I91" s="140"/>
      <c r="J91" s="140"/>
      <c r="K91" s="140"/>
      <c r="L91" s="147"/>
      <c r="M91" s="159"/>
      <c r="N91" s="147"/>
      <c r="O91" s="141"/>
      <c r="P91" s="143"/>
      <c r="Q91" s="151"/>
      <c r="R91" s="140"/>
      <c r="S91" s="140"/>
    </row>
    <row r="92" ht="33.75" customHeight="1">
      <c r="A92" s="140"/>
      <c r="B92" s="140"/>
      <c r="C92" s="147">
        <f>IFERROR(__xludf.DUMMYFUNCTION("""COMPUTED_VALUE"""),2881214.0)</f>
        <v>2881214</v>
      </c>
      <c r="D92" s="150" t="str">
        <f>IFERROR(__xludf.DUMMYFUNCTION("""COMPUTED_VALUE"""),"Preparing for an Audit")</f>
        <v>Preparing for an Audit</v>
      </c>
      <c r="E92" s="147" t="str">
        <f>IFERROR(__xludf.DUMMYFUNCTION("""COMPUTED_VALUE"""),"General")</f>
        <v>General</v>
      </c>
      <c r="F92" s="141" t="str">
        <f>IFERROR(__xludf.DUMMYFUNCTION("""COMPUTED_VALUE"""),"General")</f>
        <v>General</v>
      </c>
      <c r="G92" s="143">
        <f>IFERROR(__xludf.DUMMYFUNCTION("""COMPUTED_VALUE"""),0.018784722222222223)</f>
        <v>0.01878472222</v>
      </c>
      <c r="H92" s="151"/>
      <c r="I92" s="140"/>
      <c r="J92" s="140"/>
      <c r="K92" s="140"/>
      <c r="L92" s="147"/>
      <c r="M92" s="159"/>
      <c r="N92" s="147"/>
      <c r="O92" s="141"/>
      <c r="P92" s="143"/>
      <c r="Q92" s="151"/>
      <c r="R92" s="140"/>
      <c r="S92" s="140"/>
    </row>
    <row r="93" ht="33.75" customHeight="1">
      <c r="A93" s="140"/>
      <c r="B93" s="140"/>
      <c r="C93" s="147">
        <f>IFERROR(__xludf.DUMMYFUNCTION("""COMPUTED_VALUE"""),2888050.0)</f>
        <v>2888050</v>
      </c>
      <c r="D93" s="150" t="str">
        <f>IFERROR(__xludf.DUMMYFUNCTION("""COMPUTED_VALUE"""),"Introduction to NFTs: Non-fungible Tokens")</f>
        <v>Introduction to NFTs: Non-fungible Tokens</v>
      </c>
      <c r="E93" s="147" t="str">
        <f>IFERROR(__xludf.DUMMYFUNCTION("""COMPUTED_VALUE"""),"General")</f>
        <v>General</v>
      </c>
      <c r="F93" s="141" t="str">
        <f>IFERROR(__xludf.DUMMYFUNCTION("""COMPUTED_VALUE"""),"General")</f>
        <v>General</v>
      </c>
      <c r="G93" s="143">
        <f>IFERROR(__xludf.DUMMYFUNCTION("""COMPUTED_VALUE"""),0.032928240740740744)</f>
        <v>0.03292824074</v>
      </c>
      <c r="H93" s="151"/>
      <c r="I93" s="140"/>
      <c r="J93" s="140"/>
      <c r="K93" s="140"/>
      <c r="L93" s="147"/>
      <c r="M93" s="159"/>
      <c r="N93" s="147"/>
      <c r="O93" s="141"/>
      <c r="P93" s="143"/>
      <c r="Q93" s="151"/>
      <c r="R93" s="140"/>
      <c r="S93" s="140"/>
    </row>
    <row r="94" ht="33.75" customHeight="1">
      <c r="A94" s="140"/>
      <c r="B94" s="140"/>
      <c r="C94" s="147">
        <f>IFERROR(__xludf.DUMMYFUNCTION("""COMPUTED_VALUE"""),2880062.0)</f>
        <v>2880062</v>
      </c>
      <c r="D94" s="150" t="str">
        <f>IFERROR(__xludf.DUMMYFUNCTION("""COMPUTED_VALUE"""),"Accounting Ethics")</f>
        <v>Accounting Ethics</v>
      </c>
      <c r="E94" s="147" t="str">
        <f>IFERROR(__xludf.DUMMYFUNCTION("""COMPUTED_VALUE"""),"General")</f>
        <v>General</v>
      </c>
      <c r="F94" s="141" t="str">
        <f>IFERROR(__xludf.DUMMYFUNCTION("""COMPUTED_VALUE"""),"General")</f>
        <v>General</v>
      </c>
      <c r="G94" s="143">
        <f>IFERROR(__xludf.DUMMYFUNCTION("""COMPUTED_VALUE"""),0.03519675925925926)</f>
        <v>0.03519675926</v>
      </c>
      <c r="H94" s="151"/>
      <c r="I94" s="140"/>
      <c r="J94" s="140"/>
      <c r="K94" s="140"/>
      <c r="L94" s="147"/>
      <c r="M94" s="159"/>
      <c r="N94" s="147"/>
      <c r="O94" s="141"/>
      <c r="P94" s="143"/>
      <c r="Q94" s="151"/>
      <c r="R94" s="140"/>
      <c r="S94" s="140"/>
    </row>
    <row r="95" ht="33.75" customHeight="1">
      <c r="A95" s="140"/>
      <c r="B95" s="140"/>
      <c r="C95" s="147">
        <f>IFERROR(__xludf.DUMMYFUNCTION("""COMPUTED_VALUE"""),761929.0)</f>
        <v>761929</v>
      </c>
      <c r="D95" s="150" t="str">
        <f>IFERROR(__xludf.DUMMYFUNCTION("""COMPUTED_VALUE"""),"Agile Foundations")</f>
        <v>Agile Foundations</v>
      </c>
      <c r="E95" s="147" t="str">
        <f>IFERROR(__xludf.DUMMYFUNCTION("""COMPUTED_VALUE"""),"General")</f>
        <v>General</v>
      </c>
      <c r="F95" s="141" t="str">
        <f>IFERROR(__xludf.DUMMYFUNCTION("""COMPUTED_VALUE"""),"General")</f>
        <v>General</v>
      </c>
      <c r="G95" s="143">
        <f>IFERROR(__xludf.DUMMYFUNCTION("""COMPUTED_VALUE"""),0.06625)</f>
        <v>0.06625</v>
      </c>
      <c r="H95" s="151"/>
      <c r="I95" s="140"/>
      <c r="J95" s="140"/>
      <c r="K95" s="140"/>
      <c r="L95" s="147"/>
      <c r="M95" s="159"/>
      <c r="N95" s="147"/>
      <c r="O95" s="141"/>
      <c r="P95" s="143"/>
      <c r="Q95" s="151"/>
      <c r="R95" s="140"/>
      <c r="S95" s="140"/>
    </row>
    <row r="96" ht="33.75" customHeight="1">
      <c r="A96" s="140"/>
      <c r="B96" s="140"/>
      <c r="C96" s="147">
        <f>IFERROR(__xludf.DUMMYFUNCTION("""COMPUTED_VALUE"""),777380.0)</f>
        <v>777380</v>
      </c>
      <c r="D96" s="150" t="str">
        <f>IFERROR(__xludf.DUMMYFUNCTION("""COMPUTED_VALUE"""),"Project Management: International Projects")</f>
        <v>Project Management: International Projects</v>
      </c>
      <c r="E96" s="147" t="str">
        <f>IFERROR(__xludf.DUMMYFUNCTION("""COMPUTED_VALUE"""),"General")</f>
        <v>General</v>
      </c>
      <c r="F96" s="141" t="str">
        <f>IFERROR(__xludf.DUMMYFUNCTION("""COMPUTED_VALUE"""),"General")</f>
        <v>General</v>
      </c>
      <c r="G96" s="143">
        <f>IFERROR(__xludf.DUMMYFUNCTION("""COMPUTED_VALUE"""),0.042326388888888886)</f>
        <v>0.04232638889</v>
      </c>
      <c r="H96" s="151"/>
      <c r="I96" s="140"/>
      <c r="J96" s="140"/>
      <c r="K96" s="140"/>
      <c r="L96" s="147"/>
      <c r="M96" s="159"/>
      <c r="N96" s="147"/>
      <c r="O96" s="141"/>
      <c r="P96" s="143"/>
      <c r="Q96" s="151"/>
      <c r="R96" s="140"/>
      <c r="S96" s="140"/>
    </row>
    <row r="97" ht="33.75" customHeight="1">
      <c r="A97" s="140"/>
      <c r="B97" s="140"/>
      <c r="C97" s="147">
        <f>IFERROR(__xludf.DUMMYFUNCTION("""COMPUTED_VALUE"""),2975162.0)</f>
        <v>2975162</v>
      </c>
      <c r="D97" s="150" t="str">
        <f>IFERROR(__xludf.DUMMYFUNCTION("""COMPUTED_VALUE"""),"Recovering from a Financial Setback")</f>
        <v>Recovering from a Financial Setback</v>
      </c>
      <c r="E97" s="147" t="str">
        <f>IFERROR(__xludf.DUMMYFUNCTION("""COMPUTED_VALUE"""),"General")</f>
        <v>General</v>
      </c>
      <c r="F97" s="141" t="str">
        <f>IFERROR(__xludf.DUMMYFUNCTION("""COMPUTED_VALUE"""),"General")</f>
        <v>General</v>
      </c>
      <c r="G97" s="143">
        <f>IFERROR(__xludf.DUMMYFUNCTION("""COMPUTED_VALUE"""),0.026516203703703705)</f>
        <v>0.0265162037</v>
      </c>
      <c r="H97" s="151"/>
      <c r="I97" s="140"/>
      <c r="J97" s="140"/>
      <c r="K97" s="140"/>
      <c r="L97" s="147"/>
      <c r="M97" s="159"/>
      <c r="N97" s="147"/>
      <c r="O97" s="141"/>
      <c r="P97" s="143"/>
      <c r="Q97" s="151"/>
      <c r="R97" s="140"/>
      <c r="S97" s="140"/>
    </row>
    <row r="98" ht="33.75" customHeight="1">
      <c r="A98" s="140"/>
      <c r="B98" s="140"/>
      <c r="C98" s="147">
        <f>IFERROR(__xludf.DUMMYFUNCTION("""COMPUTED_VALUE"""),786357.0)</f>
        <v>786357</v>
      </c>
      <c r="D98" s="150" t="str">
        <f>IFERROR(__xludf.DUMMYFUNCTION("""COMPUTED_VALUE"""),"Financial Basics Everyone Should Know")</f>
        <v>Financial Basics Everyone Should Know</v>
      </c>
      <c r="E98" s="147" t="str">
        <f>IFERROR(__xludf.DUMMYFUNCTION("""COMPUTED_VALUE"""),"General")</f>
        <v>General</v>
      </c>
      <c r="F98" s="141" t="str">
        <f>IFERROR(__xludf.DUMMYFUNCTION("""COMPUTED_VALUE"""),"General")</f>
        <v>General</v>
      </c>
      <c r="G98" s="143">
        <f>IFERROR(__xludf.DUMMYFUNCTION("""COMPUTED_VALUE"""),0.05376157407407407)</f>
        <v>0.05376157407</v>
      </c>
      <c r="H98" s="151"/>
      <c r="I98" s="140"/>
      <c r="J98" s="140"/>
      <c r="K98" s="140"/>
      <c r="L98" s="147"/>
      <c r="M98" s="159"/>
      <c r="N98" s="147"/>
      <c r="O98" s="141"/>
      <c r="P98" s="143"/>
      <c r="Q98" s="151"/>
      <c r="R98" s="140"/>
      <c r="S98" s="140"/>
    </row>
    <row r="99" ht="33.75" customHeight="1">
      <c r="A99" s="140"/>
      <c r="B99" s="140"/>
      <c r="C99" s="147">
        <f>IFERROR(__xludf.DUMMYFUNCTION("""COMPUTED_VALUE"""),2873100.0)</f>
        <v>2873100</v>
      </c>
      <c r="D99" s="150" t="str">
        <f>IFERROR(__xludf.DUMMYFUNCTION("""COMPUTED_VALUE"""),"Economics for Everyone: Housing Markets in Crisis")</f>
        <v>Economics for Everyone: Housing Markets in Crisis</v>
      </c>
      <c r="E99" s="147" t="str">
        <f>IFERROR(__xludf.DUMMYFUNCTION("""COMPUTED_VALUE"""),"General")</f>
        <v>General</v>
      </c>
      <c r="F99" s="141" t="str">
        <f>IFERROR(__xludf.DUMMYFUNCTION("""COMPUTED_VALUE"""),"General")</f>
        <v>General</v>
      </c>
      <c r="G99" s="143">
        <f>IFERROR(__xludf.DUMMYFUNCTION("""COMPUTED_VALUE"""),0.023506944444444445)</f>
        <v>0.02350694444</v>
      </c>
      <c r="H99" s="151"/>
      <c r="I99" s="140"/>
      <c r="J99" s="140"/>
      <c r="K99" s="140"/>
      <c r="L99" s="147"/>
      <c r="M99" s="159"/>
      <c r="N99" s="147"/>
      <c r="O99" s="141"/>
      <c r="P99" s="143"/>
      <c r="Q99" s="151"/>
      <c r="R99" s="140"/>
      <c r="S99" s="140"/>
    </row>
    <row r="100" ht="33.75" customHeight="1">
      <c r="A100" s="140"/>
      <c r="B100" s="140"/>
      <c r="C100" s="147">
        <f>IFERROR(__xludf.DUMMYFUNCTION("""COMPUTED_VALUE"""),2869051.0)</f>
        <v>2869051</v>
      </c>
      <c r="D100" s="150" t="str">
        <f>IFERROR(__xludf.DUMMYFUNCTION("""COMPUTED_VALUE"""),"What Is Business Analysis?")</f>
        <v>What Is Business Analysis?</v>
      </c>
      <c r="E100" s="147" t="str">
        <f>IFERROR(__xludf.DUMMYFUNCTION("""COMPUTED_VALUE"""),"General")</f>
        <v>General</v>
      </c>
      <c r="F100" s="141" t="str">
        <f>IFERROR(__xludf.DUMMYFUNCTION("""COMPUTED_VALUE"""),"General")</f>
        <v>General</v>
      </c>
      <c r="G100" s="143">
        <f>IFERROR(__xludf.DUMMYFUNCTION("""COMPUTED_VALUE"""),0.015034722222222222)</f>
        <v>0.01503472222</v>
      </c>
      <c r="H100" s="151"/>
      <c r="I100" s="140"/>
      <c r="J100" s="140"/>
      <c r="K100" s="140"/>
      <c r="L100" s="147"/>
      <c r="M100" s="159"/>
      <c r="N100" s="147"/>
      <c r="O100" s="141"/>
      <c r="P100" s="143"/>
      <c r="Q100" s="151"/>
      <c r="R100" s="140"/>
      <c r="S100" s="140"/>
    </row>
    <row r="101" ht="33.75" customHeight="1">
      <c r="A101" s="140"/>
      <c r="B101" s="140"/>
      <c r="C101" s="147"/>
      <c r="D101" s="159"/>
      <c r="E101" s="147"/>
      <c r="F101" s="141"/>
      <c r="G101" s="143"/>
      <c r="H101" s="151"/>
      <c r="I101" s="140"/>
      <c r="J101" s="140"/>
      <c r="K101" s="140"/>
      <c r="L101" s="147"/>
      <c r="M101" s="159"/>
      <c r="N101" s="147"/>
      <c r="O101" s="141"/>
      <c r="P101" s="143"/>
      <c r="Q101" s="151"/>
      <c r="R101" s="140"/>
      <c r="S101" s="140"/>
    </row>
    <row r="102" ht="33.75" customHeight="1">
      <c r="A102" s="140"/>
      <c r="B102" s="140"/>
      <c r="C102" s="147"/>
      <c r="D102" s="159"/>
      <c r="E102" s="147"/>
      <c r="F102" s="141"/>
      <c r="G102" s="143"/>
      <c r="H102" s="151"/>
      <c r="I102" s="140"/>
      <c r="J102" s="140"/>
      <c r="K102" s="140"/>
      <c r="L102" s="147"/>
      <c r="M102" s="159"/>
      <c r="N102" s="147"/>
      <c r="O102" s="141"/>
      <c r="P102" s="143"/>
      <c r="Q102" s="151"/>
      <c r="R102" s="140"/>
      <c r="S102" s="140"/>
    </row>
    <row r="103" ht="33.75" customHeight="1">
      <c r="A103" s="140"/>
      <c r="B103" s="140"/>
      <c r="C103" s="147"/>
      <c r="D103" s="159"/>
      <c r="E103" s="147"/>
      <c r="F103" s="141"/>
      <c r="G103" s="143"/>
      <c r="H103" s="151"/>
      <c r="I103" s="140"/>
      <c r="J103" s="140"/>
      <c r="K103" s="140"/>
      <c r="L103" s="147"/>
      <c r="M103" s="159"/>
      <c r="N103" s="147"/>
      <c r="O103" s="141"/>
      <c r="P103" s="143"/>
      <c r="Q103" s="151"/>
      <c r="R103" s="140"/>
      <c r="S103" s="140"/>
    </row>
    <row r="104" ht="33.75" customHeight="1">
      <c r="A104" s="140"/>
      <c r="B104" s="140"/>
      <c r="C104" s="147"/>
      <c r="D104" s="159"/>
      <c r="E104" s="147"/>
      <c r="F104" s="141"/>
      <c r="G104" s="143"/>
      <c r="H104" s="151"/>
      <c r="I104" s="140"/>
      <c r="J104" s="140"/>
      <c r="K104" s="140"/>
      <c r="L104" s="147"/>
      <c r="M104" s="159"/>
      <c r="N104" s="147"/>
      <c r="O104" s="141"/>
      <c r="P104" s="143"/>
      <c r="Q104" s="151"/>
      <c r="R104" s="140"/>
      <c r="S104" s="140"/>
    </row>
    <row r="105" ht="33.75" customHeight="1">
      <c r="A105" s="140"/>
      <c r="B105" s="140"/>
      <c r="C105" s="147"/>
      <c r="D105" s="159"/>
      <c r="E105" s="147"/>
      <c r="F105" s="141"/>
      <c r="G105" s="143"/>
      <c r="H105" s="151"/>
      <c r="I105" s="140"/>
      <c r="J105" s="140"/>
      <c r="K105" s="140"/>
      <c r="L105" s="147"/>
      <c r="M105" s="159"/>
      <c r="N105" s="147"/>
      <c r="O105" s="141"/>
      <c r="P105" s="143"/>
      <c r="Q105" s="151"/>
      <c r="R105" s="140"/>
      <c r="S105" s="140"/>
    </row>
    <row r="106" ht="33.75" customHeight="1">
      <c r="A106" s="140"/>
      <c r="B106" s="140"/>
      <c r="C106" s="147"/>
      <c r="D106" s="159"/>
      <c r="E106" s="147"/>
      <c r="F106" s="141"/>
      <c r="G106" s="143"/>
      <c r="H106" s="151"/>
      <c r="I106" s="140"/>
      <c r="J106" s="140"/>
      <c r="K106" s="140"/>
      <c r="L106" s="147"/>
      <c r="M106" s="159"/>
      <c r="N106" s="147"/>
      <c r="O106" s="141"/>
      <c r="P106" s="143"/>
      <c r="Q106" s="151"/>
      <c r="R106" s="140"/>
      <c r="S106" s="140"/>
    </row>
    <row r="107" ht="33.75" customHeight="1">
      <c r="A107" s="140"/>
      <c r="B107" s="140"/>
      <c r="C107" s="147"/>
      <c r="D107" s="159"/>
      <c r="E107" s="147"/>
      <c r="F107" s="141"/>
      <c r="G107" s="143"/>
      <c r="H107" s="151"/>
      <c r="I107" s="140"/>
      <c r="J107" s="140"/>
      <c r="K107" s="140"/>
      <c r="L107" s="147"/>
      <c r="M107" s="159"/>
      <c r="N107" s="147"/>
      <c r="O107" s="141"/>
      <c r="P107" s="143"/>
      <c r="Q107" s="151"/>
      <c r="R107" s="140"/>
      <c r="S107" s="140"/>
    </row>
    <row r="108" ht="33.75" customHeight="1">
      <c r="A108" s="140"/>
      <c r="B108" s="140"/>
      <c r="C108" s="147"/>
      <c r="D108" s="159"/>
      <c r="E108" s="147"/>
      <c r="F108" s="141"/>
      <c r="G108" s="143"/>
      <c r="H108" s="151"/>
      <c r="I108" s="140"/>
      <c r="J108" s="140"/>
      <c r="K108" s="140"/>
      <c r="L108" s="147"/>
      <c r="M108" s="159"/>
      <c r="N108" s="147"/>
      <c r="O108" s="141"/>
      <c r="P108" s="143"/>
      <c r="Q108" s="151"/>
      <c r="R108" s="140"/>
      <c r="S108" s="140"/>
    </row>
    <row r="109" ht="33.75" customHeight="1">
      <c r="A109" s="140"/>
      <c r="B109" s="140"/>
      <c r="C109" s="147"/>
      <c r="D109" s="159"/>
      <c r="E109" s="147"/>
      <c r="F109" s="141"/>
      <c r="G109" s="143"/>
      <c r="H109" s="151"/>
      <c r="I109" s="140"/>
      <c r="J109" s="140"/>
      <c r="K109" s="140"/>
      <c r="L109" s="147"/>
      <c r="M109" s="159"/>
      <c r="N109" s="147"/>
      <c r="O109" s="141"/>
      <c r="P109" s="143"/>
      <c r="Q109" s="151"/>
      <c r="R109" s="140"/>
      <c r="S109" s="140"/>
    </row>
    <row r="110">
      <c r="A110" s="140"/>
      <c r="B110" s="140"/>
      <c r="C110" s="147"/>
      <c r="D110" s="159"/>
      <c r="E110" s="147"/>
      <c r="F110" s="141"/>
      <c r="G110" s="143"/>
      <c r="H110" s="151"/>
      <c r="I110" s="140"/>
      <c r="J110" s="140"/>
      <c r="K110" s="140"/>
      <c r="L110" s="147"/>
      <c r="M110" s="159"/>
      <c r="N110" s="147"/>
      <c r="O110" s="141"/>
      <c r="P110" s="143"/>
      <c r="Q110" s="151"/>
      <c r="R110" s="140"/>
      <c r="S110" s="140"/>
    </row>
    <row r="111">
      <c r="A111" s="140"/>
      <c r="B111" s="140"/>
      <c r="C111" s="147"/>
      <c r="D111" s="159"/>
      <c r="E111" s="147"/>
      <c r="F111" s="141"/>
      <c r="G111" s="143"/>
      <c r="H111" s="151"/>
      <c r="I111" s="140"/>
      <c r="J111" s="140"/>
      <c r="K111" s="140"/>
      <c r="L111" s="147"/>
      <c r="M111" s="159"/>
      <c r="N111" s="147"/>
      <c r="O111" s="141"/>
      <c r="P111" s="143"/>
      <c r="Q111" s="151"/>
      <c r="R111" s="140"/>
      <c r="S111" s="140"/>
    </row>
    <row r="112">
      <c r="A112" s="140"/>
      <c r="B112" s="140"/>
      <c r="C112" s="147"/>
      <c r="D112" s="159"/>
      <c r="E112" s="147"/>
      <c r="F112" s="141"/>
      <c r="G112" s="143"/>
      <c r="H112" s="151"/>
      <c r="I112" s="140"/>
      <c r="J112" s="140"/>
      <c r="K112" s="140"/>
      <c r="L112" s="147"/>
      <c r="M112" s="159"/>
      <c r="N112" s="147"/>
      <c r="O112" s="141"/>
      <c r="P112" s="143"/>
      <c r="Q112" s="151"/>
      <c r="R112" s="140"/>
      <c r="S112" s="140"/>
    </row>
    <row r="113">
      <c r="A113" s="140"/>
      <c r="B113" s="140"/>
      <c r="C113" s="147"/>
      <c r="D113" s="159"/>
      <c r="E113" s="147"/>
      <c r="F113" s="141"/>
      <c r="G113" s="143"/>
      <c r="H113" s="151"/>
      <c r="I113" s="140"/>
      <c r="J113" s="140"/>
      <c r="K113" s="140"/>
      <c r="L113" s="147"/>
      <c r="M113" s="159"/>
      <c r="N113" s="147"/>
      <c r="O113" s="141"/>
      <c r="P113" s="143"/>
      <c r="Q113" s="151"/>
      <c r="R113" s="140"/>
      <c r="S113" s="140"/>
    </row>
    <row r="114">
      <c r="A114" s="140"/>
      <c r="B114" s="140"/>
      <c r="C114" s="147"/>
      <c r="D114" s="159"/>
      <c r="E114" s="147"/>
      <c r="F114" s="141"/>
      <c r="G114" s="143"/>
      <c r="H114" s="151"/>
      <c r="I114" s="140"/>
      <c r="J114" s="140"/>
      <c r="K114" s="140"/>
      <c r="L114" s="147"/>
      <c r="M114" s="159"/>
      <c r="N114" s="147"/>
      <c r="O114" s="141"/>
      <c r="P114" s="143"/>
      <c r="Q114" s="151"/>
      <c r="R114" s="140"/>
      <c r="S114" s="140"/>
    </row>
    <row r="115">
      <c r="A115" s="154"/>
      <c r="B115" s="154"/>
      <c r="C115" s="155"/>
      <c r="D115" s="156"/>
      <c r="E115" s="155"/>
      <c r="F115" s="155"/>
      <c r="G115" s="155"/>
      <c r="H115" s="157"/>
      <c r="I115" s="154"/>
      <c r="J115" s="154"/>
      <c r="K115" s="154"/>
      <c r="L115" s="155"/>
      <c r="M115" s="156"/>
      <c r="N115" s="155"/>
      <c r="O115" s="155"/>
      <c r="P115" s="155"/>
      <c r="Q115" s="157"/>
      <c r="R115" s="154"/>
      <c r="S115" s="154"/>
    </row>
    <row r="116">
      <c r="A116" s="154"/>
      <c r="B116" s="154"/>
      <c r="C116" s="155"/>
      <c r="D116" s="156"/>
      <c r="E116" s="155"/>
      <c r="F116" s="155"/>
      <c r="G116" s="155"/>
      <c r="H116" s="157"/>
      <c r="I116" s="154"/>
      <c r="J116" s="154"/>
      <c r="K116" s="154"/>
      <c r="L116" s="155"/>
      <c r="M116" s="156"/>
      <c r="N116" s="155"/>
      <c r="O116" s="155"/>
      <c r="P116" s="155"/>
      <c r="Q116" s="157"/>
      <c r="R116" s="154"/>
      <c r="S116" s="154"/>
    </row>
    <row r="117">
      <c r="A117" s="154"/>
      <c r="B117" s="154"/>
      <c r="C117" s="155"/>
      <c r="D117" s="156"/>
      <c r="E117" s="155"/>
      <c r="F117" s="155"/>
      <c r="G117" s="155"/>
      <c r="H117" s="157"/>
      <c r="I117" s="154"/>
      <c r="J117" s="154"/>
      <c r="K117" s="154"/>
      <c r="L117" s="155"/>
      <c r="M117" s="156"/>
      <c r="N117" s="155"/>
      <c r="O117" s="155"/>
      <c r="P117" s="155"/>
      <c r="Q117" s="157"/>
      <c r="R117" s="154"/>
      <c r="S117" s="154"/>
    </row>
    <row r="118">
      <c r="A118" s="154"/>
      <c r="B118" s="154"/>
      <c r="C118" s="155"/>
      <c r="D118" s="156"/>
      <c r="E118" s="155"/>
      <c r="F118" s="155"/>
      <c r="G118" s="155"/>
      <c r="H118" s="157"/>
      <c r="I118" s="154"/>
      <c r="J118" s="154"/>
      <c r="K118" s="154"/>
      <c r="L118" s="155"/>
      <c r="M118" s="156"/>
      <c r="N118" s="155"/>
      <c r="O118" s="155"/>
      <c r="P118" s="155"/>
      <c r="Q118" s="157"/>
      <c r="R118" s="154"/>
      <c r="S118" s="154"/>
    </row>
    <row r="119">
      <c r="A119" s="154"/>
      <c r="B119" s="154"/>
      <c r="C119" s="155"/>
      <c r="D119" s="156"/>
      <c r="E119" s="155"/>
      <c r="F119" s="155"/>
      <c r="G119" s="155"/>
      <c r="H119" s="157"/>
      <c r="I119" s="154"/>
      <c r="J119" s="154"/>
      <c r="K119" s="154"/>
      <c r="L119" s="155"/>
      <c r="M119" s="156"/>
      <c r="N119" s="155"/>
      <c r="O119" s="155"/>
      <c r="P119" s="155"/>
      <c r="Q119" s="157"/>
      <c r="R119" s="154"/>
      <c r="S119" s="154"/>
    </row>
    <row r="120">
      <c r="A120" s="154"/>
      <c r="B120" s="154"/>
      <c r="C120" s="155"/>
      <c r="D120" s="156"/>
      <c r="E120" s="155"/>
      <c r="F120" s="155"/>
      <c r="G120" s="155"/>
      <c r="H120" s="157"/>
      <c r="I120" s="154"/>
      <c r="J120" s="154"/>
      <c r="K120" s="154"/>
      <c r="L120" s="155"/>
      <c r="M120" s="156"/>
      <c r="N120" s="155"/>
      <c r="O120" s="155"/>
      <c r="P120" s="155"/>
      <c r="Q120" s="157"/>
      <c r="R120" s="154"/>
      <c r="S120" s="154"/>
    </row>
    <row r="121">
      <c r="A121" s="154"/>
      <c r="B121" s="154"/>
      <c r="C121" s="155"/>
      <c r="D121" s="156"/>
      <c r="E121" s="155"/>
      <c r="F121" s="155"/>
      <c r="G121" s="155"/>
      <c r="H121" s="157"/>
      <c r="I121" s="154"/>
      <c r="J121" s="154"/>
      <c r="K121" s="154"/>
      <c r="L121" s="155"/>
      <c r="M121" s="156"/>
      <c r="N121" s="155"/>
      <c r="O121" s="155"/>
      <c r="P121" s="155"/>
      <c r="Q121" s="157"/>
      <c r="R121" s="154"/>
      <c r="S121" s="154"/>
    </row>
    <row r="122">
      <c r="A122" s="154"/>
      <c r="B122" s="154"/>
      <c r="C122" s="155"/>
      <c r="D122" s="156"/>
      <c r="E122" s="155"/>
      <c r="F122" s="155"/>
      <c r="G122" s="155"/>
      <c r="H122" s="157"/>
      <c r="I122" s="154"/>
      <c r="J122" s="154"/>
      <c r="K122" s="154"/>
      <c r="L122" s="155"/>
      <c r="M122" s="156"/>
      <c r="N122" s="155"/>
      <c r="O122" s="155"/>
      <c r="P122" s="155"/>
      <c r="Q122" s="157"/>
      <c r="R122" s="154"/>
      <c r="S122" s="154"/>
    </row>
    <row r="123">
      <c r="A123" s="154"/>
      <c r="B123" s="154"/>
      <c r="C123" s="155"/>
      <c r="D123" s="156"/>
      <c r="E123" s="155"/>
      <c r="F123" s="155"/>
      <c r="G123" s="155"/>
      <c r="H123" s="157"/>
      <c r="I123" s="154"/>
      <c r="J123" s="154"/>
      <c r="K123" s="154"/>
      <c r="L123" s="155"/>
      <c r="M123" s="156"/>
      <c r="N123" s="155"/>
      <c r="O123" s="155"/>
      <c r="P123" s="155"/>
      <c r="Q123" s="157"/>
      <c r="R123" s="154"/>
      <c r="S123" s="154"/>
    </row>
    <row r="124">
      <c r="A124" s="154"/>
      <c r="B124" s="154"/>
      <c r="C124" s="155"/>
      <c r="D124" s="156"/>
      <c r="E124" s="155"/>
      <c r="F124" s="155"/>
      <c r="G124" s="155"/>
      <c r="H124" s="157"/>
      <c r="I124" s="154"/>
      <c r="J124" s="154"/>
      <c r="K124" s="154"/>
      <c r="L124" s="155"/>
      <c r="M124" s="156"/>
      <c r="N124" s="155"/>
      <c r="O124" s="155"/>
      <c r="P124" s="155"/>
      <c r="Q124" s="157"/>
      <c r="R124" s="154"/>
      <c r="S124" s="154"/>
    </row>
    <row r="125">
      <c r="A125" s="154"/>
      <c r="B125" s="154"/>
      <c r="C125" s="155"/>
      <c r="D125" s="156"/>
      <c r="E125" s="155"/>
      <c r="F125" s="155"/>
      <c r="G125" s="155"/>
      <c r="H125" s="157"/>
      <c r="I125" s="154"/>
      <c r="J125" s="154"/>
      <c r="K125" s="154"/>
      <c r="L125" s="155"/>
      <c r="M125" s="156"/>
      <c r="N125" s="155"/>
      <c r="O125" s="155"/>
      <c r="P125" s="155"/>
      <c r="Q125" s="157"/>
      <c r="R125" s="154"/>
      <c r="S125" s="154"/>
    </row>
    <row r="126">
      <c r="A126" s="154"/>
      <c r="B126" s="154"/>
      <c r="C126" s="155"/>
      <c r="D126" s="156"/>
      <c r="E126" s="155"/>
      <c r="F126" s="155"/>
      <c r="G126" s="155"/>
      <c r="H126" s="157"/>
      <c r="I126" s="154"/>
      <c r="J126" s="154"/>
      <c r="K126" s="154"/>
      <c r="L126" s="155"/>
      <c r="M126" s="156"/>
      <c r="N126" s="155"/>
      <c r="O126" s="155"/>
      <c r="P126" s="155"/>
      <c r="Q126" s="157"/>
      <c r="R126" s="154"/>
      <c r="S126" s="154"/>
    </row>
    <row r="127">
      <c r="A127" s="154"/>
      <c r="B127" s="154"/>
      <c r="C127" s="155"/>
      <c r="D127" s="156"/>
      <c r="E127" s="155"/>
      <c r="F127" s="155"/>
      <c r="G127" s="155"/>
      <c r="H127" s="157"/>
      <c r="I127" s="154"/>
      <c r="J127" s="154"/>
      <c r="K127" s="154"/>
      <c r="L127" s="155"/>
      <c r="M127" s="156"/>
      <c r="N127" s="155"/>
      <c r="O127" s="155"/>
      <c r="P127" s="155"/>
      <c r="Q127" s="157"/>
      <c r="R127" s="154"/>
      <c r="S127" s="154"/>
    </row>
    <row r="128">
      <c r="A128" s="154"/>
      <c r="B128" s="154"/>
      <c r="C128" s="155"/>
      <c r="D128" s="156"/>
      <c r="E128" s="155"/>
      <c r="F128" s="155"/>
      <c r="G128" s="155"/>
      <c r="H128" s="157"/>
      <c r="I128" s="154"/>
      <c r="J128" s="154"/>
      <c r="K128" s="154"/>
      <c r="L128" s="155"/>
      <c r="M128" s="156"/>
      <c r="N128" s="155"/>
      <c r="O128" s="155"/>
      <c r="P128" s="155"/>
      <c r="Q128" s="157"/>
      <c r="R128" s="154"/>
      <c r="S128" s="154"/>
    </row>
    <row r="129">
      <c r="A129" s="154"/>
      <c r="B129" s="154"/>
      <c r="C129" s="155"/>
      <c r="D129" s="156"/>
      <c r="E129" s="155"/>
      <c r="F129" s="155"/>
      <c r="G129" s="155"/>
      <c r="H129" s="157"/>
      <c r="I129" s="154"/>
      <c r="J129" s="154"/>
      <c r="K129" s="154"/>
      <c r="L129" s="155"/>
      <c r="M129" s="156"/>
      <c r="N129" s="155"/>
      <c r="O129" s="155"/>
      <c r="P129" s="155"/>
      <c r="Q129" s="157"/>
      <c r="R129" s="154"/>
      <c r="S129" s="154"/>
    </row>
    <row r="130">
      <c r="A130" s="154"/>
      <c r="B130" s="154"/>
      <c r="C130" s="155"/>
      <c r="D130" s="156"/>
      <c r="E130" s="155"/>
      <c r="F130" s="155"/>
      <c r="G130" s="155"/>
      <c r="H130" s="157"/>
      <c r="I130" s="154"/>
      <c r="J130" s="154"/>
      <c r="K130" s="154"/>
      <c r="L130" s="155"/>
      <c r="M130" s="156"/>
      <c r="N130" s="155"/>
      <c r="O130" s="155"/>
      <c r="P130" s="155"/>
      <c r="Q130" s="157"/>
      <c r="R130" s="154"/>
      <c r="S130" s="154"/>
    </row>
    <row r="131">
      <c r="A131" s="154"/>
      <c r="B131" s="154"/>
      <c r="C131" s="155"/>
      <c r="D131" s="156"/>
      <c r="E131" s="155"/>
      <c r="F131" s="155"/>
      <c r="G131" s="155"/>
      <c r="H131" s="157"/>
      <c r="I131" s="154"/>
      <c r="J131" s="154"/>
      <c r="K131" s="154"/>
      <c r="L131" s="155"/>
      <c r="M131" s="156"/>
      <c r="N131" s="155"/>
      <c r="O131" s="155"/>
      <c r="P131" s="155"/>
      <c r="Q131" s="157"/>
      <c r="R131" s="154"/>
      <c r="S131" s="154"/>
    </row>
    <row r="132">
      <c r="A132" s="154"/>
      <c r="B132" s="154"/>
      <c r="C132" s="155"/>
      <c r="D132" s="156"/>
      <c r="E132" s="155"/>
      <c r="F132" s="155"/>
      <c r="G132" s="155"/>
      <c r="H132" s="157"/>
      <c r="I132" s="154"/>
      <c r="J132" s="154"/>
      <c r="K132" s="154"/>
      <c r="L132" s="155"/>
      <c r="M132" s="156"/>
      <c r="N132" s="155"/>
      <c r="O132" s="155"/>
      <c r="P132" s="155"/>
      <c r="Q132" s="157"/>
      <c r="R132" s="154"/>
      <c r="S132" s="154"/>
    </row>
    <row r="133">
      <c r="A133" s="154"/>
      <c r="B133" s="154"/>
      <c r="C133" s="155"/>
      <c r="D133" s="156"/>
      <c r="E133" s="155"/>
      <c r="F133" s="155"/>
      <c r="G133" s="155"/>
      <c r="H133" s="157"/>
      <c r="I133" s="154"/>
      <c r="J133" s="154"/>
      <c r="K133" s="154"/>
      <c r="L133" s="155"/>
      <c r="M133" s="156"/>
      <c r="N133" s="155"/>
      <c r="O133" s="155"/>
      <c r="P133" s="155"/>
      <c r="Q133" s="157"/>
      <c r="R133" s="154"/>
      <c r="S133" s="154"/>
    </row>
    <row r="134">
      <c r="A134" s="154"/>
      <c r="B134" s="154"/>
      <c r="C134" s="155"/>
      <c r="D134" s="156"/>
      <c r="E134" s="155"/>
      <c r="F134" s="155"/>
      <c r="G134" s="155"/>
      <c r="H134" s="157"/>
      <c r="I134" s="154"/>
      <c r="J134" s="154"/>
      <c r="K134" s="154"/>
      <c r="L134" s="155"/>
      <c r="M134" s="156"/>
      <c r="N134" s="155"/>
      <c r="O134" s="155"/>
      <c r="P134" s="155"/>
      <c r="Q134" s="157"/>
      <c r="R134" s="154"/>
      <c r="S134" s="154"/>
    </row>
    <row r="135">
      <c r="A135" s="154"/>
      <c r="B135" s="154"/>
      <c r="C135" s="155"/>
      <c r="D135" s="156"/>
      <c r="E135" s="155"/>
      <c r="F135" s="155"/>
      <c r="G135" s="155"/>
      <c r="H135" s="157"/>
      <c r="I135" s="154"/>
      <c r="J135" s="154"/>
      <c r="K135" s="154"/>
      <c r="L135" s="155"/>
      <c r="M135" s="156"/>
      <c r="N135" s="155"/>
      <c r="O135" s="155"/>
      <c r="P135" s="155"/>
      <c r="Q135" s="157"/>
      <c r="R135" s="154"/>
      <c r="S135" s="154"/>
    </row>
    <row r="136">
      <c r="A136" s="154"/>
      <c r="B136" s="154"/>
      <c r="C136" s="155"/>
      <c r="D136" s="156"/>
      <c r="E136" s="155"/>
      <c r="F136" s="155"/>
      <c r="G136" s="155"/>
      <c r="H136" s="157"/>
      <c r="I136" s="154"/>
      <c r="J136" s="154"/>
      <c r="K136" s="154"/>
      <c r="L136" s="155"/>
      <c r="M136" s="156"/>
      <c r="N136" s="155"/>
      <c r="O136" s="155"/>
      <c r="P136" s="155"/>
      <c r="Q136" s="157"/>
      <c r="R136" s="154"/>
      <c r="S136" s="154"/>
    </row>
    <row r="137">
      <c r="A137" s="154"/>
      <c r="B137" s="154"/>
      <c r="C137" s="155"/>
      <c r="D137" s="156"/>
      <c r="E137" s="155"/>
      <c r="F137" s="155"/>
      <c r="G137" s="155"/>
      <c r="H137" s="157"/>
      <c r="I137" s="154"/>
      <c r="J137" s="154"/>
      <c r="K137" s="154"/>
      <c r="L137" s="155"/>
      <c r="M137" s="156"/>
      <c r="N137" s="155"/>
      <c r="O137" s="155"/>
      <c r="P137" s="155"/>
      <c r="Q137" s="157"/>
      <c r="R137" s="154"/>
      <c r="S137" s="154"/>
    </row>
    <row r="138">
      <c r="A138" s="154"/>
      <c r="B138" s="154"/>
      <c r="C138" s="155"/>
      <c r="D138" s="156"/>
      <c r="E138" s="155"/>
      <c r="F138" s="155"/>
      <c r="G138" s="155"/>
      <c r="H138" s="157"/>
      <c r="I138" s="154"/>
      <c r="J138" s="154"/>
      <c r="K138" s="154"/>
      <c r="L138" s="155"/>
      <c r="M138" s="156"/>
      <c r="N138" s="155"/>
      <c r="O138" s="155"/>
      <c r="P138" s="155"/>
      <c r="Q138" s="157"/>
      <c r="R138" s="154"/>
      <c r="S138" s="154"/>
    </row>
    <row r="139">
      <c r="A139" s="154"/>
      <c r="B139" s="154"/>
      <c r="C139" s="155"/>
      <c r="D139" s="156"/>
      <c r="E139" s="155"/>
      <c r="F139" s="155"/>
      <c r="G139" s="155"/>
      <c r="H139" s="157"/>
      <c r="I139" s="154"/>
      <c r="J139" s="154"/>
      <c r="K139" s="154"/>
      <c r="L139" s="155"/>
      <c r="M139" s="156"/>
      <c r="N139" s="155"/>
      <c r="O139" s="155"/>
      <c r="P139" s="155"/>
      <c r="Q139" s="157"/>
      <c r="R139" s="154"/>
      <c r="S139" s="154"/>
    </row>
    <row r="140">
      <c r="A140" s="154"/>
      <c r="B140" s="154"/>
      <c r="C140" s="155"/>
      <c r="D140" s="156"/>
      <c r="E140" s="155"/>
      <c r="F140" s="155"/>
      <c r="G140" s="155"/>
      <c r="H140" s="157"/>
      <c r="I140" s="154"/>
      <c r="J140" s="154"/>
      <c r="K140" s="154"/>
      <c r="L140" s="155"/>
      <c r="M140" s="156"/>
      <c r="N140" s="155"/>
      <c r="O140" s="155"/>
      <c r="P140" s="155"/>
      <c r="Q140" s="157"/>
      <c r="R140" s="154"/>
      <c r="S140" s="154"/>
    </row>
    <row r="141">
      <c r="A141" s="154"/>
      <c r="B141" s="154"/>
      <c r="C141" s="155"/>
      <c r="D141" s="156"/>
      <c r="E141" s="155"/>
      <c r="F141" s="155"/>
      <c r="G141" s="155"/>
      <c r="H141" s="157"/>
      <c r="I141" s="154"/>
      <c r="J141" s="154"/>
      <c r="K141" s="154"/>
      <c r="L141" s="155"/>
      <c r="M141" s="156"/>
      <c r="N141" s="155"/>
      <c r="O141" s="155"/>
      <c r="P141" s="155"/>
      <c r="Q141" s="157"/>
      <c r="R141" s="154"/>
      <c r="S141" s="154"/>
    </row>
    <row r="142">
      <c r="A142" s="154"/>
      <c r="B142" s="154"/>
      <c r="C142" s="155"/>
      <c r="D142" s="156"/>
      <c r="E142" s="155"/>
      <c r="F142" s="155"/>
      <c r="G142" s="155"/>
      <c r="H142" s="157"/>
      <c r="I142" s="154"/>
      <c r="J142" s="154"/>
      <c r="K142" s="154"/>
      <c r="L142" s="155"/>
      <c r="M142" s="156"/>
      <c r="N142" s="155"/>
      <c r="O142" s="155"/>
      <c r="P142" s="155"/>
      <c r="Q142" s="157"/>
      <c r="R142" s="154"/>
      <c r="S142" s="154"/>
    </row>
    <row r="143">
      <c r="A143" s="154"/>
      <c r="B143" s="154"/>
      <c r="C143" s="155"/>
      <c r="D143" s="156"/>
      <c r="E143" s="155"/>
      <c r="F143" s="155"/>
      <c r="G143" s="155"/>
      <c r="H143" s="157"/>
      <c r="I143" s="154"/>
      <c r="J143" s="154"/>
      <c r="K143" s="154"/>
      <c r="L143" s="155"/>
      <c r="M143" s="156"/>
      <c r="N143" s="155"/>
      <c r="O143" s="155"/>
      <c r="P143" s="155"/>
      <c r="Q143" s="157"/>
      <c r="R143" s="154"/>
      <c r="S143" s="154"/>
    </row>
    <row r="144">
      <c r="A144" s="154"/>
      <c r="B144" s="154"/>
      <c r="C144" s="155"/>
      <c r="D144" s="156"/>
      <c r="E144" s="155"/>
      <c r="F144" s="155"/>
      <c r="G144" s="155"/>
      <c r="H144" s="157"/>
      <c r="I144" s="154"/>
      <c r="J144" s="154"/>
      <c r="K144" s="154"/>
      <c r="L144" s="155"/>
      <c r="M144" s="156"/>
      <c r="N144" s="155"/>
      <c r="O144" s="155"/>
      <c r="P144" s="155"/>
      <c r="Q144" s="157"/>
      <c r="R144" s="154"/>
      <c r="S144" s="154"/>
    </row>
    <row r="145">
      <c r="A145" s="154"/>
      <c r="B145" s="154"/>
      <c r="C145" s="155"/>
      <c r="D145" s="156"/>
      <c r="E145" s="155"/>
      <c r="F145" s="155"/>
      <c r="G145" s="155"/>
      <c r="H145" s="157"/>
      <c r="I145" s="154"/>
      <c r="J145" s="154"/>
      <c r="K145" s="154"/>
      <c r="L145" s="155"/>
      <c r="M145" s="156"/>
      <c r="N145" s="155"/>
      <c r="O145" s="155"/>
      <c r="P145" s="155"/>
      <c r="Q145" s="157"/>
      <c r="R145" s="154"/>
      <c r="S145" s="154"/>
    </row>
    <row r="146">
      <c r="A146" s="154"/>
      <c r="B146" s="154"/>
      <c r="C146" s="155"/>
      <c r="D146" s="156"/>
      <c r="E146" s="155"/>
      <c r="F146" s="155"/>
      <c r="G146" s="155"/>
      <c r="H146" s="157"/>
      <c r="I146" s="154"/>
      <c r="J146" s="154"/>
      <c r="K146" s="154"/>
      <c r="L146" s="155"/>
      <c r="M146" s="156"/>
      <c r="N146" s="155"/>
      <c r="O146" s="155"/>
      <c r="P146" s="155"/>
      <c r="Q146" s="157"/>
      <c r="R146" s="154"/>
      <c r="S146" s="154"/>
    </row>
    <row r="147">
      <c r="A147" s="154"/>
      <c r="B147" s="154"/>
      <c r="C147" s="155"/>
      <c r="D147" s="156"/>
      <c r="E147" s="155"/>
      <c r="F147" s="155"/>
      <c r="G147" s="155"/>
      <c r="H147" s="157"/>
      <c r="I147" s="154"/>
      <c r="J147" s="154"/>
      <c r="K147" s="154"/>
      <c r="L147" s="155"/>
      <c r="M147" s="156"/>
      <c r="N147" s="155"/>
      <c r="O147" s="155"/>
      <c r="P147" s="155"/>
      <c r="Q147" s="157"/>
      <c r="R147" s="154"/>
      <c r="S147" s="154"/>
    </row>
    <row r="148">
      <c r="A148" s="154"/>
      <c r="B148" s="154"/>
      <c r="C148" s="155"/>
      <c r="D148" s="156"/>
      <c r="E148" s="155"/>
      <c r="F148" s="155"/>
      <c r="G148" s="155"/>
      <c r="H148" s="157"/>
      <c r="I148" s="154"/>
      <c r="J148" s="154"/>
      <c r="K148" s="154"/>
      <c r="L148" s="155"/>
      <c r="M148" s="156"/>
      <c r="N148" s="155"/>
      <c r="O148" s="155"/>
      <c r="P148" s="155"/>
      <c r="Q148" s="157"/>
      <c r="R148" s="154"/>
      <c r="S148" s="154"/>
    </row>
    <row r="149">
      <c r="A149" s="154"/>
      <c r="B149" s="154"/>
      <c r="C149" s="155"/>
      <c r="D149" s="156"/>
      <c r="E149" s="155"/>
      <c r="F149" s="155"/>
      <c r="G149" s="155"/>
      <c r="H149" s="157"/>
      <c r="I149" s="154"/>
      <c r="J149" s="154"/>
      <c r="K149" s="154"/>
      <c r="L149" s="155"/>
      <c r="M149" s="156"/>
      <c r="N149" s="155"/>
      <c r="O149" s="155"/>
      <c r="P149" s="155"/>
      <c r="Q149" s="157"/>
      <c r="R149" s="154"/>
      <c r="S149" s="154"/>
    </row>
    <row r="150">
      <c r="A150" s="154"/>
      <c r="B150" s="154"/>
      <c r="C150" s="155"/>
      <c r="D150" s="156"/>
      <c r="E150" s="155"/>
      <c r="F150" s="155"/>
      <c r="G150" s="155"/>
      <c r="H150" s="157"/>
      <c r="I150" s="154"/>
      <c r="J150" s="154"/>
      <c r="K150" s="154"/>
      <c r="L150" s="155"/>
      <c r="M150" s="156"/>
      <c r="N150" s="155"/>
      <c r="O150" s="155"/>
      <c r="P150" s="155"/>
      <c r="Q150" s="157"/>
      <c r="R150" s="154"/>
      <c r="S150" s="154"/>
    </row>
    <row r="151">
      <c r="A151" s="154"/>
      <c r="B151" s="154"/>
      <c r="C151" s="155"/>
      <c r="D151" s="156"/>
      <c r="E151" s="155"/>
      <c r="F151" s="155"/>
      <c r="G151" s="155"/>
      <c r="H151" s="157"/>
      <c r="I151" s="154"/>
      <c r="J151" s="154"/>
      <c r="K151" s="154"/>
      <c r="L151" s="155"/>
      <c r="M151" s="156"/>
      <c r="N151" s="155"/>
      <c r="O151" s="155"/>
      <c r="P151" s="155"/>
      <c r="Q151" s="157"/>
      <c r="R151" s="154"/>
      <c r="S151" s="154"/>
    </row>
    <row r="152">
      <c r="A152" s="154"/>
      <c r="B152" s="154"/>
      <c r="C152" s="155"/>
      <c r="D152" s="156"/>
      <c r="E152" s="155"/>
      <c r="F152" s="155"/>
      <c r="G152" s="155"/>
      <c r="H152" s="157"/>
      <c r="I152" s="154"/>
      <c r="J152" s="154"/>
      <c r="K152" s="154"/>
      <c r="L152" s="155"/>
      <c r="M152" s="156"/>
      <c r="N152" s="155"/>
      <c r="O152" s="155"/>
      <c r="P152" s="155"/>
      <c r="Q152" s="157"/>
      <c r="R152" s="154"/>
      <c r="S152" s="154"/>
    </row>
    <row r="153">
      <c r="A153" s="154"/>
      <c r="B153" s="154"/>
      <c r="C153" s="155"/>
      <c r="D153" s="156"/>
      <c r="E153" s="155"/>
      <c r="F153" s="155"/>
      <c r="G153" s="155"/>
      <c r="H153" s="157"/>
      <c r="I153" s="154"/>
      <c r="J153" s="154"/>
      <c r="K153" s="154"/>
      <c r="L153" s="155"/>
      <c r="M153" s="156"/>
      <c r="N153" s="155"/>
      <c r="O153" s="155"/>
      <c r="P153" s="155"/>
      <c r="Q153" s="157"/>
      <c r="R153" s="154"/>
      <c r="S153" s="154"/>
    </row>
    <row r="154">
      <c r="A154" s="154"/>
      <c r="B154" s="154"/>
      <c r="C154" s="155"/>
      <c r="D154" s="156"/>
      <c r="E154" s="155"/>
      <c r="F154" s="155"/>
      <c r="G154" s="155"/>
      <c r="H154" s="157"/>
      <c r="I154" s="154"/>
      <c r="J154" s="154"/>
      <c r="K154" s="154"/>
      <c r="L154" s="155"/>
      <c r="M154" s="156"/>
      <c r="N154" s="155"/>
      <c r="O154" s="155"/>
      <c r="P154" s="155"/>
      <c r="Q154" s="157"/>
      <c r="R154" s="154"/>
      <c r="S154" s="154"/>
    </row>
    <row r="155">
      <c r="A155" s="154"/>
      <c r="B155" s="154"/>
      <c r="C155" s="155"/>
      <c r="D155" s="156"/>
      <c r="E155" s="155"/>
      <c r="F155" s="155"/>
      <c r="G155" s="155"/>
      <c r="H155" s="157"/>
      <c r="I155" s="154"/>
      <c r="J155" s="154"/>
      <c r="K155" s="154"/>
      <c r="L155" s="155"/>
      <c r="M155" s="156"/>
      <c r="N155" s="155"/>
      <c r="O155" s="155"/>
      <c r="P155" s="155"/>
      <c r="Q155" s="157"/>
      <c r="R155" s="154"/>
      <c r="S155" s="154"/>
    </row>
    <row r="156">
      <c r="A156" s="154"/>
      <c r="B156" s="154"/>
      <c r="C156" s="155"/>
      <c r="D156" s="156"/>
      <c r="E156" s="155"/>
      <c r="F156" s="155"/>
      <c r="G156" s="155"/>
      <c r="H156" s="157"/>
      <c r="I156" s="154"/>
      <c r="J156" s="154"/>
      <c r="K156" s="154"/>
      <c r="L156" s="155"/>
      <c r="M156" s="156"/>
      <c r="N156" s="155"/>
      <c r="O156" s="155"/>
      <c r="P156" s="155"/>
      <c r="Q156" s="157"/>
      <c r="R156" s="154"/>
      <c r="S156" s="154"/>
    </row>
    <row r="157">
      <c r="A157" s="154"/>
      <c r="B157" s="154"/>
      <c r="C157" s="155"/>
      <c r="D157" s="156"/>
      <c r="E157" s="155"/>
      <c r="F157" s="155"/>
      <c r="G157" s="155"/>
      <c r="H157" s="157"/>
      <c r="I157" s="154"/>
      <c r="J157" s="154"/>
      <c r="K157" s="154"/>
      <c r="L157" s="155"/>
      <c r="M157" s="156"/>
      <c r="N157" s="155"/>
      <c r="O157" s="155"/>
      <c r="P157" s="155"/>
      <c r="Q157" s="157"/>
      <c r="R157" s="154"/>
      <c r="S157" s="154"/>
    </row>
    <row r="158">
      <c r="A158" s="154"/>
      <c r="B158" s="154"/>
      <c r="C158" s="155"/>
      <c r="D158" s="156"/>
      <c r="E158" s="155"/>
      <c r="F158" s="155"/>
      <c r="G158" s="155"/>
      <c r="H158" s="157"/>
      <c r="I158" s="154"/>
      <c r="J158" s="154"/>
      <c r="K158" s="154"/>
      <c r="L158" s="155"/>
      <c r="M158" s="156"/>
      <c r="N158" s="155"/>
      <c r="O158" s="155"/>
      <c r="P158" s="155"/>
      <c r="Q158" s="157"/>
      <c r="R158" s="154"/>
      <c r="S158" s="154"/>
    </row>
    <row r="159">
      <c r="A159" s="154"/>
      <c r="B159" s="154"/>
      <c r="C159" s="155"/>
      <c r="D159" s="156"/>
      <c r="E159" s="155"/>
      <c r="F159" s="155"/>
      <c r="G159" s="155"/>
      <c r="H159" s="157"/>
      <c r="I159" s="154"/>
      <c r="J159" s="154"/>
      <c r="K159" s="154"/>
      <c r="L159" s="155"/>
      <c r="M159" s="156"/>
      <c r="N159" s="155"/>
      <c r="O159" s="155"/>
      <c r="P159" s="155"/>
      <c r="Q159" s="157"/>
      <c r="R159" s="154"/>
      <c r="S159" s="154"/>
    </row>
    <row r="160">
      <c r="A160" s="154"/>
      <c r="B160" s="154"/>
      <c r="C160" s="155"/>
      <c r="D160" s="156"/>
      <c r="E160" s="155"/>
      <c r="F160" s="155"/>
      <c r="G160" s="155"/>
      <c r="H160" s="157"/>
      <c r="I160" s="154"/>
      <c r="J160" s="154"/>
      <c r="K160" s="154"/>
      <c r="L160" s="155"/>
      <c r="M160" s="156"/>
      <c r="N160" s="155"/>
      <c r="O160" s="155"/>
      <c r="P160" s="155"/>
      <c r="Q160" s="157"/>
      <c r="R160" s="154"/>
      <c r="S160" s="154"/>
    </row>
    <row r="161">
      <c r="A161" s="154"/>
      <c r="B161" s="154"/>
      <c r="C161" s="155"/>
      <c r="D161" s="156"/>
      <c r="E161" s="155"/>
      <c r="F161" s="155"/>
      <c r="G161" s="155"/>
      <c r="H161" s="157"/>
      <c r="I161" s="154"/>
      <c r="J161" s="154"/>
      <c r="K161" s="154"/>
      <c r="L161" s="155"/>
      <c r="M161" s="156"/>
      <c r="N161" s="155"/>
      <c r="O161" s="155"/>
      <c r="P161" s="155"/>
      <c r="Q161" s="157"/>
      <c r="R161" s="154"/>
      <c r="S161" s="154"/>
    </row>
    <row r="162">
      <c r="A162" s="154"/>
      <c r="B162" s="154"/>
      <c r="C162" s="155"/>
      <c r="D162" s="156"/>
      <c r="E162" s="155"/>
      <c r="F162" s="155"/>
      <c r="G162" s="155"/>
      <c r="H162" s="157"/>
      <c r="I162" s="154"/>
      <c r="J162" s="154"/>
      <c r="K162" s="154"/>
      <c r="L162" s="155"/>
      <c r="M162" s="156"/>
      <c r="N162" s="155"/>
      <c r="O162" s="155"/>
      <c r="P162" s="155"/>
      <c r="Q162" s="157"/>
      <c r="R162" s="154"/>
      <c r="S162" s="154"/>
    </row>
    <row r="163">
      <c r="A163" s="154"/>
      <c r="B163" s="154"/>
      <c r="C163" s="155"/>
      <c r="D163" s="156"/>
      <c r="E163" s="155"/>
      <c r="F163" s="155"/>
      <c r="G163" s="155"/>
      <c r="H163" s="157"/>
      <c r="I163" s="154"/>
      <c r="J163" s="154"/>
      <c r="K163" s="154"/>
      <c r="L163" s="155"/>
      <c r="M163" s="156"/>
      <c r="N163" s="155"/>
      <c r="O163" s="155"/>
      <c r="P163" s="155"/>
      <c r="Q163" s="157"/>
      <c r="R163" s="154"/>
      <c r="S163" s="154"/>
    </row>
    <row r="164">
      <c r="A164" s="154"/>
      <c r="B164" s="154"/>
      <c r="C164" s="155"/>
      <c r="D164" s="156"/>
      <c r="E164" s="155"/>
      <c r="F164" s="155"/>
      <c r="G164" s="155"/>
      <c r="H164" s="157"/>
      <c r="I164" s="154"/>
      <c r="J164" s="154"/>
      <c r="K164" s="154"/>
      <c r="L164" s="155"/>
      <c r="M164" s="156"/>
      <c r="N164" s="155"/>
      <c r="O164" s="155"/>
      <c r="P164" s="155"/>
      <c r="Q164" s="157"/>
      <c r="R164" s="154"/>
      <c r="S164" s="154"/>
    </row>
    <row r="165">
      <c r="A165" s="154"/>
      <c r="B165" s="154"/>
      <c r="C165" s="155"/>
      <c r="D165" s="156"/>
      <c r="E165" s="155"/>
      <c r="F165" s="155"/>
      <c r="G165" s="155"/>
      <c r="H165" s="157"/>
      <c r="I165" s="154"/>
      <c r="J165" s="154"/>
      <c r="K165" s="154"/>
      <c r="L165" s="155"/>
      <c r="M165" s="156"/>
      <c r="N165" s="155"/>
      <c r="O165" s="155"/>
      <c r="P165" s="155"/>
      <c r="Q165" s="157"/>
      <c r="R165" s="154"/>
      <c r="S165" s="154"/>
    </row>
    <row r="166">
      <c r="A166" s="154"/>
      <c r="B166" s="154"/>
      <c r="C166" s="155"/>
      <c r="D166" s="156"/>
      <c r="E166" s="155"/>
      <c r="F166" s="155"/>
      <c r="G166" s="155"/>
      <c r="H166" s="157"/>
      <c r="I166" s="154"/>
      <c r="J166" s="154"/>
      <c r="K166" s="154"/>
      <c r="L166" s="155"/>
      <c r="M166" s="156"/>
      <c r="N166" s="155"/>
      <c r="O166" s="155"/>
      <c r="P166" s="155"/>
      <c r="Q166" s="157"/>
      <c r="R166" s="154"/>
      <c r="S166" s="154"/>
    </row>
    <row r="167">
      <c r="A167" s="154"/>
      <c r="B167" s="154"/>
      <c r="C167" s="155"/>
      <c r="D167" s="156"/>
      <c r="E167" s="155"/>
      <c r="F167" s="155"/>
      <c r="G167" s="155"/>
      <c r="H167" s="157"/>
      <c r="I167" s="154"/>
      <c r="J167" s="154"/>
      <c r="K167" s="154"/>
      <c r="L167" s="155"/>
      <c r="M167" s="156"/>
      <c r="N167" s="155"/>
      <c r="O167" s="155"/>
      <c r="P167" s="155"/>
      <c r="Q167" s="157"/>
      <c r="R167" s="154"/>
      <c r="S167" s="154"/>
    </row>
    <row r="168">
      <c r="A168" s="154"/>
      <c r="B168" s="154"/>
      <c r="C168" s="155"/>
      <c r="D168" s="156"/>
      <c r="E168" s="155"/>
      <c r="F168" s="155"/>
      <c r="G168" s="155"/>
      <c r="H168" s="157"/>
      <c r="I168" s="154"/>
      <c r="J168" s="154"/>
      <c r="K168" s="154"/>
      <c r="L168" s="155"/>
      <c r="M168" s="156"/>
      <c r="N168" s="155"/>
      <c r="O168" s="155"/>
      <c r="P168" s="155"/>
      <c r="Q168" s="157"/>
      <c r="R168" s="154"/>
      <c r="S168" s="154"/>
    </row>
    <row r="169">
      <c r="A169" s="154"/>
      <c r="B169" s="154"/>
      <c r="C169" s="155"/>
      <c r="D169" s="156"/>
      <c r="E169" s="155"/>
      <c r="F169" s="155"/>
      <c r="G169" s="155"/>
      <c r="H169" s="157"/>
      <c r="I169" s="154"/>
      <c r="J169" s="154"/>
      <c r="K169" s="154"/>
      <c r="L169" s="155"/>
      <c r="M169" s="156"/>
      <c r="N169" s="155"/>
      <c r="O169" s="155"/>
      <c r="P169" s="155"/>
      <c r="Q169" s="157"/>
      <c r="R169" s="154"/>
      <c r="S169" s="154"/>
    </row>
    <row r="170">
      <c r="A170" s="154"/>
      <c r="B170" s="154"/>
      <c r="C170" s="155"/>
      <c r="D170" s="156"/>
      <c r="E170" s="155"/>
      <c r="F170" s="155"/>
      <c r="G170" s="155"/>
      <c r="H170" s="157"/>
      <c r="I170" s="154"/>
      <c r="J170" s="154"/>
      <c r="K170" s="154"/>
      <c r="L170" s="155"/>
      <c r="M170" s="156"/>
      <c r="N170" s="155"/>
      <c r="O170" s="155"/>
      <c r="P170" s="155"/>
      <c r="Q170" s="157"/>
      <c r="R170" s="154"/>
      <c r="S170" s="154"/>
    </row>
    <row r="171">
      <c r="A171" s="154"/>
      <c r="B171" s="154"/>
      <c r="C171" s="155"/>
      <c r="D171" s="156"/>
      <c r="E171" s="155"/>
      <c r="F171" s="155"/>
      <c r="G171" s="155"/>
      <c r="H171" s="157"/>
      <c r="I171" s="154"/>
      <c r="J171" s="154"/>
      <c r="K171" s="154"/>
      <c r="L171" s="155"/>
      <c r="M171" s="156"/>
      <c r="N171" s="155"/>
      <c r="O171" s="155"/>
      <c r="P171" s="155"/>
      <c r="Q171" s="157"/>
      <c r="R171" s="154"/>
      <c r="S171" s="154"/>
    </row>
    <row r="172">
      <c r="A172" s="154"/>
      <c r="B172" s="154"/>
      <c r="C172" s="155"/>
      <c r="D172" s="156"/>
      <c r="E172" s="155"/>
      <c r="F172" s="155"/>
      <c r="G172" s="155"/>
      <c r="H172" s="157"/>
      <c r="I172" s="154"/>
      <c r="J172" s="154"/>
      <c r="K172" s="154"/>
      <c r="L172" s="155"/>
      <c r="M172" s="156"/>
      <c r="N172" s="155"/>
      <c r="O172" s="155"/>
      <c r="P172" s="155"/>
      <c r="Q172" s="157"/>
      <c r="R172" s="154"/>
      <c r="S172" s="154"/>
    </row>
    <row r="173">
      <c r="A173" s="154"/>
      <c r="B173" s="154"/>
      <c r="C173" s="155"/>
      <c r="D173" s="156"/>
      <c r="E173" s="155"/>
      <c r="F173" s="155"/>
      <c r="G173" s="155"/>
      <c r="H173" s="157"/>
      <c r="I173" s="154"/>
      <c r="J173" s="154"/>
      <c r="K173" s="154"/>
      <c r="L173" s="155"/>
      <c r="M173" s="156"/>
      <c r="N173" s="155"/>
      <c r="O173" s="155"/>
      <c r="P173" s="155"/>
      <c r="Q173" s="157"/>
      <c r="R173" s="154"/>
      <c r="S173" s="154"/>
    </row>
    <row r="174">
      <c r="A174" s="154"/>
      <c r="B174" s="154"/>
      <c r="C174" s="155"/>
      <c r="D174" s="156"/>
      <c r="E174" s="155"/>
      <c r="F174" s="155"/>
      <c r="G174" s="155"/>
      <c r="H174" s="157"/>
      <c r="I174" s="154"/>
      <c r="J174" s="154"/>
      <c r="K174" s="154"/>
      <c r="L174" s="155"/>
      <c r="M174" s="156"/>
      <c r="N174" s="155"/>
      <c r="O174" s="155"/>
      <c r="P174" s="155"/>
      <c r="Q174" s="157"/>
      <c r="R174" s="154"/>
      <c r="S174" s="154"/>
    </row>
    <row r="175">
      <c r="A175" s="154"/>
      <c r="B175" s="154"/>
      <c r="C175" s="155"/>
      <c r="D175" s="156"/>
      <c r="E175" s="155"/>
      <c r="F175" s="155"/>
      <c r="G175" s="155"/>
      <c r="H175" s="157"/>
      <c r="I175" s="154"/>
      <c r="J175" s="154"/>
      <c r="K175" s="154"/>
      <c r="L175" s="155"/>
      <c r="M175" s="156"/>
      <c r="N175" s="155"/>
      <c r="O175" s="155"/>
      <c r="P175" s="155"/>
      <c r="Q175" s="157"/>
      <c r="R175" s="154"/>
      <c r="S175" s="154"/>
    </row>
    <row r="176">
      <c r="A176" s="154"/>
      <c r="B176" s="154"/>
      <c r="C176" s="155"/>
      <c r="D176" s="156"/>
      <c r="E176" s="155"/>
      <c r="F176" s="155"/>
      <c r="G176" s="155"/>
      <c r="H176" s="157"/>
      <c r="I176" s="154"/>
      <c r="J176" s="154"/>
      <c r="K176" s="154"/>
      <c r="L176" s="155"/>
      <c r="M176" s="156"/>
      <c r="N176" s="155"/>
      <c r="O176" s="155"/>
      <c r="P176" s="155"/>
      <c r="Q176" s="157"/>
      <c r="R176" s="154"/>
      <c r="S176" s="154"/>
    </row>
    <row r="177">
      <c r="A177" s="154"/>
      <c r="B177" s="154"/>
      <c r="C177" s="155"/>
      <c r="D177" s="156"/>
      <c r="E177" s="155"/>
      <c r="F177" s="155"/>
      <c r="G177" s="155"/>
      <c r="H177" s="157"/>
      <c r="I177" s="154"/>
      <c r="J177" s="154"/>
      <c r="K177" s="154"/>
      <c r="L177" s="155"/>
      <c r="M177" s="156"/>
      <c r="N177" s="155"/>
      <c r="O177" s="155"/>
      <c r="P177" s="155"/>
      <c r="Q177" s="157"/>
      <c r="R177" s="154"/>
      <c r="S177" s="154"/>
    </row>
    <row r="178">
      <c r="A178" s="154"/>
      <c r="B178" s="154"/>
      <c r="C178" s="155"/>
      <c r="D178" s="156"/>
      <c r="E178" s="155"/>
      <c r="F178" s="155"/>
      <c r="G178" s="155"/>
      <c r="H178" s="157"/>
      <c r="I178" s="154"/>
      <c r="J178" s="154"/>
      <c r="K178" s="154"/>
      <c r="L178" s="155"/>
      <c r="M178" s="156"/>
      <c r="N178" s="155"/>
      <c r="O178" s="155"/>
      <c r="P178" s="155"/>
      <c r="Q178" s="157"/>
      <c r="R178" s="154"/>
      <c r="S178" s="154"/>
    </row>
    <row r="179">
      <c r="A179" s="154"/>
      <c r="B179" s="154"/>
      <c r="C179" s="155"/>
      <c r="D179" s="156"/>
      <c r="E179" s="155"/>
      <c r="F179" s="155"/>
      <c r="G179" s="155"/>
      <c r="H179" s="157"/>
      <c r="I179" s="154"/>
      <c r="J179" s="154"/>
      <c r="K179" s="154"/>
      <c r="L179" s="155"/>
      <c r="M179" s="156"/>
      <c r="N179" s="155"/>
      <c r="O179" s="155"/>
      <c r="P179" s="155"/>
      <c r="Q179" s="157"/>
      <c r="R179" s="154"/>
      <c r="S179" s="154"/>
    </row>
    <row r="180">
      <c r="A180" s="154"/>
      <c r="B180" s="154"/>
      <c r="C180" s="155"/>
      <c r="D180" s="156"/>
      <c r="E180" s="155"/>
      <c r="F180" s="155"/>
      <c r="G180" s="155"/>
      <c r="H180" s="157"/>
      <c r="I180" s="154"/>
      <c r="J180" s="154"/>
      <c r="K180" s="154"/>
      <c r="L180" s="155"/>
      <c r="M180" s="156"/>
      <c r="N180" s="155"/>
      <c r="O180" s="155"/>
      <c r="P180" s="155"/>
      <c r="Q180" s="157"/>
      <c r="R180" s="154"/>
      <c r="S180" s="154"/>
    </row>
    <row r="181">
      <c r="A181" s="154"/>
      <c r="B181" s="154"/>
      <c r="C181" s="155"/>
      <c r="D181" s="156"/>
      <c r="E181" s="155"/>
      <c r="F181" s="155"/>
      <c r="G181" s="155"/>
      <c r="H181" s="157"/>
      <c r="I181" s="154"/>
      <c r="J181" s="154"/>
      <c r="K181" s="154"/>
      <c r="L181" s="155"/>
      <c r="M181" s="156"/>
      <c r="N181" s="155"/>
      <c r="O181" s="155"/>
      <c r="P181" s="155"/>
      <c r="Q181" s="157"/>
      <c r="R181" s="154"/>
      <c r="S181" s="154"/>
    </row>
    <row r="182">
      <c r="A182" s="154"/>
      <c r="B182" s="154"/>
      <c r="C182" s="155"/>
      <c r="D182" s="156"/>
      <c r="E182" s="155"/>
      <c r="F182" s="155"/>
      <c r="G182" s="155"/>
      <c r="H182" s="157"/>
      <c r="I182" s="154"/>
      <c r="J182" s="154"/>
      <c r="K182" s="154"/>
      <c r="L182" s="155"/>
      <c r="M182" s="156"/>
      <c r="N182" s="155"/>
      <c r="O182" s="155"/>
      <c r="P182" s="155"/>
      <c r="Q182" s="157"/>
      <c r="R182" s="154"/>
      <c r="S182" s="154"/>
    </row>
    <row r="183">
      <c r="A183" s="154"/>
      <c r="B183" s="154"/>
      <c r="C183" s="155"/>
      <c r="D183" s="156"/>
      <c r="E183" s="155"/>
      <c r="F183" s="155"/>
      <c r="G183" s="155"/>
      <c r="H183" s="157"/>
      <c r="I183" s="154"/>
      <c r="J183" s="154"/>
      <c r="K183" s="154"/>
      <c r="L183" s="155"/>
      <c r="M183" s="156"/>
      <c r="N183" s="155"/>
      <c r="O183" s="155"/>
      <c r="P183" s="155"/>
      <c r="Q183" s="157"/>
      <c r="R183" s="154"/>
      <c r="S183" s="154"/>
    </row>
    <row r="184">
      <c r="A184" s="154"/>
      <c r="B184" s="154"/>
      <c r="C184" s="155"/>
      <c r="D184" s="156"/>
      <c r="E184" s="155"/>
      <c r="F184" s="155"/>
      <c r="G184" s="155"/>
      <c r="H184" s="157"/>
      <c r="I184" s="154"/>
      <c r="J184" s="154"/>
      <c r="K184" s="154"/>
      <c r="L184" s="155"/>
      <c r="M184" s="156"/>
      <c r="N184" s="155"/>
      <c r="O184" s="155"/>
      <c r="P184" s="155"/>
      <c r="Q184" s="157"/>
      <c r="R184" s="154"/>
      <c r="S184" s="154"/>
    </row>
    <row r="185">
      <c r="A185" s="154"/>
      <c r="B185" s="154"/>
      <c r="C185" s="155"/>
      <c r="D185" s="156"/>
      <c r="E185" s="155"/>
      <c r="F185" s="155"/>
      <c r="G185" s="155"/>
      <c r="H185" s="157"/>
      <c r="I185" s="154"/>
      <c r="J185" s="154"/>
      <c r="K185" s="154"/>
      <c r="L185" s="155"/>
      <c r="M185" s="156"/>
      <c r="N185" s="155"/>
      <c r="O185" s="155"/>
      <c r="P185" s="155"/>
      <c r="Q185" s="157"/>
      <c r="R185" s="154"/>
      <c r="S185" s="154"/>
    </row>
    <row r="186">
      <c r="A186" s="154"/>
      <c r="B186" s="154"/>
      <c r="C186" s="155"/>
      <c r="D186" s="156"/>
      <c r="E186" s="155"/>
      <c r="F186" s="155"/>
      <c r="G186" s="155"/>
      <c r="H186" s="157"/>
      <c r="I186" s="154"/>
      <c r="J186" s="154"/>
      <c r="K186" s="154"/>
      <c r="L186" s="155"/>
      <c r="M186" s="156"/>
      <c r="N186" s="155"/>
      <c r="O186" s="155"/>
      <c r="P186" s="155"/>
      <c r="Q186" s="157"/>
      <c r="R186" s="154"/>
      <c r="S186" s="154"/>
    </row>
    <row r="187">
      <c r="A187" s="154"/>
      <c r="B187" s="154"/>
      <c r="C187" s="155"/>
      <c r="D187" s="156"/>
      <c r="E187" s="155"/>
      <c r="F187" s="155"/>
      <c r="G187" s="155"/>
      <c r="H187" s="157"/>
      <c r="I187" s="154"/>
      <c r="J187" s="154"/>
      <c r="K187" s="154"/>
      <c r="L187" s="155"/>
      <c r="M187" s="156"/>
      <c r="N187" s="155"/>
      <c r="O187" s="155"/>
      <c r="P187" s="155"/>
      <c r="Q187" s="157"/>
      <c r="R187" s="154"/>
      <c r="S187" s="154"/>
    </row>
    <row r="188">
      <c r="A188" s="154"/>
      <c r="B188" s="154"/>
      <c r="C188" s="155"/>
      <c r="D188" s="156"/>
      <c r="E188" s="155"/>
      <c r="F188" s="155"/>
      <c r="G188" s="155"/>
      <c r="H188" s="157"/>
      <c r="I188" s="154"/>
      <c r="J188" s="154"/>
      <c r="K188" s="154"/>
      <c r="L188" s="155"/>
      <c r="M188" s="156"/>
      <c r="N188" s="155"/>
      <c r="O188" s="155"/>
      <c r="P188" s="155"/>
      <c r="Q188" s="157"/>
      <c r="R188" s="154"/>
      <c r="S188" s="154"/>
    </row>
    <row r="189">
      <c r="A189" s="154"/>
      <c r="B189" s="154"/>
      <c r="C189" s="155"/>
      <c r="D189" s="156"/>
      <c r="E189" s="155"/>
      <c r="F189" s="155"/>
      <c r="G189" s="155"/>
      <c r="H189" s="157"/>
      <c r="I189" s="154"/>
      <c r="J189" s="154"/>
      <c r="K189" s="154"/>
      <c r="L189" s="155"/>
      <c r="M189" s="156"/>
      <c r="N189" s="155"/>
      <c r="O189" s="155"/>
      <c r="P189" s="155"/>
      <c r="Q189" s="157"/>
      <c r="R189" s="154"/>
      <c r="S189" s="154"/>
    </row>
    <row r="190">
      <c r="A190" s="154"/>
      <c r="B190" s="154"/>
      <c r="C190" s="155"/>
      <c r="D190" s="156"/>
      <c r="E190" s="155"/>
      <c r="F190" s="155"/>
      <c r="G190" s="155"/>
      <c r="H190" s="157"/>
      <c r="I190" s="154"/>
      <c r="J190" s="154"/>
      <c r="K190" s="154"/>
      <c r="L190" s="155"/>
      <c r="M190" s="156"/>
      <c r="N190" s="155"/>
      <c r="O190" s="155"/>
      <c r="P190" s="155"/>
      <c r="Q190" s="157"/>
      <c r="R190" s="154"/>
      <c r="S190" s="154"/>
    </row>
    <row r="191">
      <c r="A191" s="154"/>
      <c r="B191" s="154"/>
      <c r="C191" s="155"/>
      <c r="D191" s="156"/>
      <c r="E191" s="155"/>
      <c r="F191" s="155"/>
      <c r="G191" s="155"/>
      <c r="H191" s="157"/>
      <c r="I191" s="154"/>
      <c r="J191" s="154"/>
      <c r="K191" s="154"/>
      <c r="L191" s="155"/>
      <c r="M191" s="156"/>
      <c r="N191" s="155"/>
      <c r="O191" s="155"/>
      <c r="P191" s="155"/>
      <c r="Q191" s="157"/>
      <c r="R191" s="154"/>
      <c r="S191" s="154"/>
    </row>
    <row r="192">
      <c r="A192" s="154"/>
      <c r="B192" s="154"/>
      <c r="C192" s="155"/>
      <c r="D192" s="156"/>
      <c r="E192" s="155"/>
      <c r="F192" s="155"/>
      <c r="G192" s="155"/>
      <c r="H192" s="157"/>
      <c r="I192" s="154"/>
      <c r="J192" s="154"/>
      <c r="K192" s="154"/>
      <c r="L192" s="155"/>
      <c r="M192" s="156"/>
      <c r="N192" s="155"/>
      <c r="O192" s="155"/>
      <c r="P192" s="155"/>
      <c r="Q192" s="157"/>
      <c r="R192" s="154"/>
      <c r="S192" s="154"/>
    </row>
    <row r="193">
      <c r="A193" s="154"/>
      <c r="B193" s="154"/>
      <c r="C193" s="155"/>
      <c r="D193" s="156"/>
      <c r="E193" s="155"/>
      <c r="F193" s="155"/>
      <c r="G193" s="155"/>
      <c r="H193" s="157"/>
      <c r="I193" s="154"/>
      <c r="J193" s="154"/>
      <c r="K193" s="154"/>
      <c r="L193" s="155"/>
      <c r="M193" s="156"/>
      <c r="N193" s="155"/>
      <c r="O193" s="155"/>
      <c r="P193" s="155"/>
      <c r="Q193" s="157"/>
      <c r="R193" s="154"/>
      <c r="S193" s="154"/>
    </row>
    <row r="194">
      <c r="A194" s="154"/>
      <c r="B194" s="154"/>
      <c r="C194" s="155"/>
      <c r="D194" s="156"/>
      <c r="E194" s="155"/>
      <c r="F194" s="155"/>
      <c r="G194" s="155"/>
      <c r="H194" s="157"/>
      <c r="I194" s="154"/>
      <c r="J194" s="154"/>
      <c r="K194" s="154"/>
      <c r="L194" s="155"/>
      <c r="M194" s="156"/>
      <c r="N194" s="155"/>
      <c r="O194" s="155"/>
      <c r="P194" s="155"/>
      <c r="Q194" s="157"/>
      <c r="R194" s="154"/>
      <c r="S194" s="154"/>
    </row>
    <row r="195">
      <c r="A195" s="154"/>
      <c r="B195" s="154"/>
      <c r="C195" s="155"/>
      <c r="D195" s="156"/>
      <c r="E195" s="155"/>
      <c r="F195" s="155"/>
      <c r="G195" s="155"/>
      <c r="H195" s="157"/>
      <c r="I195" s="154"/>
      <c r="J195" s="154"/>
      <c r="K195" s="154"/>
      <c r="L195" s="155"/>
      <c r="M195" s="156"/>
      <c r="N195" s="155"/>
      <c r="O195" s="155"/>
      <c r="P195" s="155"/>
      <c r="Q195" s="157"/>
      <c r="R195" s="154"/>
      <c r="S195" s="154"/>
    </row>
    <row r="196">
      <c r="A196" s="154"/>
      <c r="B196" s="154"/>
      <c r="C196" s="155"/>
      <c r="D196" s="156"/>
      <c r="E196" s="155"/>
      <c r="F196" s="155"/>
      <c r="G196" s="155"/>
      <c r="H196" s="157"/>
      <c r="I196" s="154"/>
      <c r="J196" s="154"/>
      <c r="K196" s="154"/>
      <c r="L196" s="155"/>
      <c r="M196" s="156"/>
      <c r="N196" s="155"/>
      <c r="O196" s="155"/>
      <c r="P196" s="155"/>
      <c r="Q196" s="157"/>
      <c r="R196" s="154"/>
      <c r="S196" s="154"/>
    </row>
    <row r="197">
      <c r="A197" s="154"/>
      <c r="B197" s="154"/>
      <c r="C197" s="155"/>
      <c r="D197" s="156"/>
      <c r="E197" s="155"/>
      <c r="F197" s="155"/>
      <c r="G197" s="155"/>
      <c r="H197" s="157"/>
      <c r="I197" s="154"/>
      <c r="J197" s="154"/>
      <c r="K197" s="154"/>
      <c r="L197" s="155"/>
      <c r="M197" s="156"/>
      <c r="N197" s="155"/>
      <c r="O197" s="155"/>
      <c r="P197" s="155"/>
      <c r="Q197" s="157"/>
      <c r="R197" s="154"/>
      <c r="S197" s="154"/>
    </row>
    <row r="198">
      <c r="A198" s="154"/>
      <c r="B198" s="154"/>
      <c r="C198" s="155"/>
      <c r="D198" s="156"/>
      <c r="E198" s="155"/>
      <c r="F198" s="155"/>
      <c r="G198" s="155"/>
      <c r="H198" s="157"/>
      <c r="I198" s="154"/>
      <c r="J198" s="154"/>
      <c r="K198" s="154"/>
      <c r="L198" s="155"/>
      <c r="M198" s="156"/>
      <c r="N198" s="155"/>
      <c r="O198" s="155"/>
      <c r="P198" s="155"/>
      <c r="Q198" s="157"/>
      <c r="R198" s="154"/>
      <c r="S198" s="154"/>
    </row>
    <row r="199">
      <c r="A199" s="154"/>
      <c r="B199" s="154"/>
      <c r="C199" s="155"/>
      <c r="D199" s="156"/>
      <c r="E199" s="155"/>
      <c r="F199" s="155"/>
      <c r="G199" s="155"/>
      <c r="H199" s="157"/>
      <c r="I199" s="154"/>
      <c r="J199" s="154"/>
      <c r="K199" s="154"/>
      <c r="L199" s="155"/>
      <c r="M199" s="156"/>
      <c r="N199" s="155"/>
      <c r="O199" s="155"/>
      <c r="P199" s="155"/>
      <c r="Q199" s="157"/>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row r="591">
      <c r="A591" s="154"/>
      <c r="B591" s="154"/>
      <c r="C591" s="155"/>
      <c r="D591" s="156"/>
      <c r="E591" s="155"/>
      <c r="F591" s="155"/>
      <c r="G591" s="155"/>
      <c r="H591" s="157"/>
      <c r="I591" s="154"/>
      <c r="J591" s="154"/>
      <c r="K591" s="154"/>
      <c r="L591" s="155"/>
      <c r="M591" s="156"/>
      <c r="N591" s="155"/>
      <c r="O591" s="155"/>
      <c r="P591" s="155"/>
      <c r="Q591" s="157"/>
      <c r="R591" s="154"/>
      <c r="S591" s="154"/>
    </row>
    <row r="592">
      <c r="A592" s="154"/>
      <c r="B592" s="154"/>
      <c r="C592" s="155"/>
      <c r="D592" s="156"/>
      <c r="E592" s="155"/>
      <c r="F592" s="155"/>
      <c r="G592" s="155"/>
      <c r="H592" s="157"/>
      <c r="I592" s="154"/>
      <c r="J592" s="154"/>
      <c r="K592" s="154"/>
      <c r="L592" s="155"/>
      <c r="M592" s="156"/>
      <c r="N592" s="155"/>
      <c r="O592" s="155"/>
      <c r="P592" s="155"/>
      <c r="Q592" s="157"/>
      <c r="R592" s="154"/>
      <c r="S592" s="154"/>
    </row>
    <row r="593">
      <c r="A593" s="154"/>
      <c r="B593" s="154"/>
      <c r="C593" s="155"/>
      <c r="D593" s="156"/>
      <c r="E593" s="155"/>
      <c r="F593" s="155"/>
      <c r="G593" s="155"/>
      <c r="H593" s="157"/>
      <c r="I593" s="154"/>
      <c r="J593" s="154"/>
      <c r="K593" s="154"/>
      <c r="L593" s="155"/>
      <c r="M593" s="156"/>
      <c r="N593" s="155"/>
      <c r="O593" s="155"/>
      <c r="P593" s="155"/>
      <c r="Q593" s="157"/>
      <c r="R593" s="154"/>
      <c r="S593" s="154"/>
    </row>
    <row r="594">
      <c r="A594" s="154"/>
      <c r="B594" s="154"/>
      <c r="C594" s="155"/>
      <c r="D594" s="156"/>
      <c r="E594" s="155"/>
      <c r="F594" s="155"/>
      <c r="G594" s="155"/>
      <c r="H594" s="157"/>
      <c r="I594" s="154"/>
      <c r="J594" s="154"/>
      <c r="K594" s="154"/>
      <c r="L594" s="155"/>
      <c r="M594" s="156"/>
      <c r="N594" s="155"/>
      <c r="O594" s="155"/>
      <c r="P594" s="155"/>
      <c r="Q594" s="157"/>
      <c r="R594" s="154"/>
      <c r="S594" s="154"/>
    </row>
    <row r="595">
      <c r="A595" s="154"/>
      <c r="B595" s="154"/>
      <c r="C595" s="155"/>
      <c r="D595" s="156"/>
      <c r="E595" s="155"/>
      <c r="F595" s="155"/>
      <c r="G595" s="155"/>
      <c r="H595" s="157"/>
      <c r="I595" s="154"/>
      <c r="J595" s="154"/>
      <c r="K595" s="154"/>
      <c r="L595" s="155"/>
      <c r="M595" s="156"/>
      <c r="N595" s="155"/>
      <c r="O595" s="155"/>
      <c r="P595" s="155"/>
      <c r="Q595" s="157"/>
      <c r="R595" s="154"/>
      <c r="S595" s="154"/>
    </row>
    <row r="596">
      <c r="A596" s="154"/>
      <c r="B596" s="154"/>
      <c r="C596" s="155"/>
      <c r="D596" s="156"/>
      <c r="E596" s="155"/>
      <c r="F596" s="155"/>
      <c r="G596" s="155"/>
      <c r="H596" s="157"/>
      <c r="I596" s="154"/>
      <c r="J596" s="154"/>
      <c r="K596" s="154"/>
      <c r="L596" s="155"/>
      <c r="M596" s="156"/>
      <c r="N596" s="155"/>
      <c r="O596" s="155"/>
      <c r="P596" s="155"/>
      <c r="Q596" s="157"/>
      <c r="R596" s="154"/>
      <c r="S596" s="154"/>
    </row>
    <row r="597">
      <c r="A597" s="154"/>
      <c r="B597" s="154"/>
      <c r="C597" s="155"/>
      <c r="D597" s="156"/>
      <c r="E597" s="155"/>
      <c r="F597" s="155"/>
      <c r="G597" s="155"/>
      <c r="H597" s="157"/>
      <c r="I597" s="154"/>
      <c r="J597" s="154"/>
      <c r="K597" s="154"/>
      <c r="L597" s="155"/>
      <c r="M597" s="156"/>
      <c r="N597" s="155"/>
      <c r="O597" s="155"/>
      <c r="P597" s="155"/>
      <c r="Q597" s="157"/>
      <c r="R597" s="154"/>
      <c r="S597" s="154"/>
    </row>
  </sheetData>
  <mergeCells count="6">
    <mergeCell ref="C1:H1"/>
    <mergeCell ref="L1:Q1"/>
    <mergeCell ref="C2:H2"/>
    <mergeCell ref="L2:Q2"/>
    <mergeCell ref="C3:H3"/>
    <mergeCell ref="L3:Q3"/>
  </mergeCells>
  <dataValidations>
    <dataValidation type="list" allowBlank="1" showErrorMessage="1" sqref="A1:C1 I1:L1 R1:S1">
      <formula1>'All Competencies'!$A$3:$A597</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Q9"/>
    <hyperlink r:id="rId21" ref="D10"/>
    <hyperlink r:id="rId22" ref="H10"/>
    <hyperlink r:id="rId23" ref="M10"/>
    <hyperlink r:id="rId24" ref="Q10"/>
    <hyperlink r:id="rId25" ref="D11"/>
    <hyperlink r:id="rId26" ref="H11"/>
    <hyperlink r:id="rId27" ref="M11"/>
    <hyperlink r:id="rId28" ref="Q11"/>
    <hyperlink r:id="rId29" ref="D12"/>
    <hyperlink r:id="rId30" ref="H12"/>
    <hyperlink r:id="rId31" ref="M12"/>
    <hyperlink r:id="rId32" ref="Q12"/>
    <hyperlink r:id="rId33" ref="D13"/>
    <hyperlink r:id="rId34" ref="H13"/>
    <hyperlink r:id="rId35" ref="M13"/>
    <hyperlink r:id="rId36" ref="Q13"/>
    <hyperlink r:id="rId37" ref="D14"/>
    <hyperlink r:id="rId38" ref="M14"/>
    <hyperlink r:id="rId39" ref="Q14"/>
    <hyperlink r:id="rId40" ref="D15"/>
    <hyperlink r:id="rId41" ref="M15"/>
    <hyperlink r:id="rId42" ref="D16"/>
    <hyperlink r:id="rId43" ref="M16"/>
    <hyperlink r:id="rId44" ref="D17"/>
    <hyperlink r:id="rId45" ref="M17"/>
    <hyperlink r:id="rId46" ref="D18"/>
    <hyperlink r:id="rId47" ref="M18"/>
    <hyperlink r:id="rId48" ref="D19"/>
    <hyperlink r:id="rId49" ref="M19"/>
    <hyperlink r:id="rId50" ref="D20"/>
    <hyperlink r:id="rId51" ref="M20"/>
    <hyperlink r:id="rId52" ref="D21"/>
    <hyperlink r:id="rId53" ref="M21"/>
    <hyperlink r:id="rId54" ref="D22"/>
    <hyperlink r:id="rId55" ref="M22"/>
    <hyperlink r:id="rId56" ref="D23"/>
    <hyperlink r:id="rId57" ref="M23"/>
    <hyperlink r:id="rId58" ref="D24"/>
    <hyperlink r:id="rId59" ref="M24"/>
    <hyperlink r:id="rId60" ref="D25"/>
    <hyperlink r:id="rId61" ref="M25"/>
    <hyperlink r:id="rId62" ref="D26"/>
    <hyperlink r:id="rId63" ref="M26"/>
    <hyperlink r:id="rId64" ref="D27"/>
    <hyperlink r:id="rId65" ref="M27"/>
    <hyperlink r:id="rId66" ref="D28"/>
    <hyperlink r:id="rId67" ref="M28"/>
    <hyperlink r:id="rId68" ref="D29"/>
    <hyperlink r:id="rId69" ref="M29"/>
    <hyperlink r:id="rId70" ref="D30"/>
    <hyperlink r:id="rId71" ref="M30"/>
    <hyperlink r:id="rId72" ref="D31"/>
    <hyperlink r:id="rId73" ref="M31"/>
    <hyperlink r:id="rId74" ref="D32"/>
    <hyperlink r:id="rId75" ref="M32"/>
    <hyperlink r:id="rId76" ref="D33"/>
    <hyperlink r:id="rId77" ref="M33"/>
    <hyperlink r:id="rId78" ref="D34"/>
    <hyperlink r:id="rId79" ref="M34"/>
    <hyperlink r:id="rId80" ref="D35"/>
    <hyperlink r:id="rId81" ref="M35"/>
    <hyperlink r:id="rId82" ref="D36"/>
    <hyperlink r:id="rId83" ref="M36"/>
    <hyperlink r:id="rId84" ref="D37"/>
    <hyperlink r:id="rId85" ref="M37"/>
    <hyperlink r:id="rId86" ref="D38"/>
    <hyperlink r:id="rId87" ref="M38"/>
    <hyperlink r:id="rId88" ref="D39"/>
    <hyperlink r:id="rId89" ref="M39"/>
    <hyperlink r:id="rId90" ref="D40"/>
    <hyperlink r:id="rId91" ref="M40"/>
    <hyperlink r:id="rId92" ref="D41"/>
    <hyperlink r:id="rId93" ref="M41"/>
    <hyperlink r:id="rId94" ref="D42"/>
    <hyperlink r:id="rId95" ref="M42"/>
    <hyperlink r:id="rId96" ref="D43"/>
    <hyperlink r:id="rId97" ref="M43"/>
    <hyperlink r:id="rId98" ref="D44"/>
    <hyperlink r:id="rId99" ref="M44"/>
    <hyperlink r:id="rId100" ref="D45"/>
    <hyperlink r:id="rId101" ref="M45"/>
    <hyperlink r:id="rId102" ref="D46"/>
    <hyperlink r:id="rId103" ref="M46"/>
    <hyperlink r:id="rId104" ref="D47"/>
    <hyperlink r:id="rId105" ref="M47"/>
    <hyperlink r:id="rId106" ref="D48"/>
    <hyperlink r:id="rId107" ref="M48"/>
    <hyperlink r:id="rId108" ref="D49"/>
    <hyperlink r:id="rId109" ref="M49"/>
    <hyperlink r:id="rId110" ref="D50"/>
    <hyperlink r:id="rId111" ref="M50"/>
    <hyperlink r:id="rId112" ref="D51"/>
    <hyperlink r:id="rId113" ref="M51"/>
    <hyperlink r:id="rId114" ref="D52"/>
    <hyperlink r:id="rId115" ref="M52"/>
    <hyperlink r:id="rId116" ref="D53"/>
    <hyperlink r:id="rId117" ref="M53"/>
    <hyperlink r:id="rId118" ref="D54"/>
    <hyperlink r:id="rId119" ref="M54"/>
    <hyperlink r:id="rId120" ref="D55"/>
    <hyperlink r:id="rId121" ref="M55"/>
    <hyperlink r:id="rId122" ref="D56"/>
    <hyperlink r:id="rId123" ref="M56"/>
    <hyperlink r:id="rId124" ref="D57"/>
    <hyperlink r:id="rId125" ref="M57"/>
    <hyperlink r:id="rId126" ref="D58"/>
    <hyperlink r:id="rId127" ref="M58"/>
    <hyperlink r:id="rId128" ref="D59"/>
    <hyperlink r:id="rId129" ref="M59"/>
    <hyperlink r:id="rId130" ref="D60"/>
    <hyperlink r:id="rId131" ref="M60"/>
    <hyperlink r:id="rId132" ref="D61"/>
    <hyperlink r:id="rId133" ref="M61"/>
    <hyperlink r:id="rId134" ref="D62"/>
    <hyperlink r:id="rId135" ref="M62"/>
    <hyperlink r:id="rId136" ref="D63"/>
    <hyperlink r:id="rId137" ref="M63"/>
    <hyperlink r:id="rId138" ref="D64"/>
    <hyperlink r:id="rId139" ref="M64"/>
    <hyperlink r:id="rId140" ref="D65"/>
    <hyperlink r:id="rId141" ref="M65"/>
    <hyperlink r:id="rId142" ref="D66"/>
    <hyperlink r:id="rId143" ref="M66"/>
    <hyperlink r:id="rId144" ref="D67"/>
    <hyperlink r:id="rId145" ref="M67"/>
    <hyperlink r:id="rId146" ref="D68"/>
    <hyperlink r:id="rId147" ref="M68"/>
    <hyperlink r:id="rId148" ref="D69"/>
    <hyperlink r:id="rId149" ref="M69"/>
    <hyperlink r:id="rId150" ref="D70"/>
    <hyperlink r:id="rId151" ref="M70"/>
    <hyperlink r:id="rId152" ref="D71"/>
    <hyperlink r:id="rId153" ref="M71"/>
    <hyperlink r:id="rId154" ref="D72"/>
    <hyperlink r:id="rId155" ref="M72"/>
    <hyperlink r:id="rId156" ref="D73"/>
    <hyperlink r:id="rId157" ref="M73"/>
    <hyperlink r:id="rId158" ref="D74"/>
    <hyperlink r:id="rId159" ref="M74"/>
    <hyperlink r:id="rId160" ref="D75"/>
    <hyperlink r:id="rId161" ref="M75"/>
    <hyperlink r:id="rId162" ref="D76"/>
    <hyperlink r:id="rId163" ref="M76"/>
    <hyperlink r:id="rId164" ref="D77"/>
    <hyperlink r:id="rId165" ref="M77"/>
    <hyperlink r:id="rId166" ref="D78"/>
    <hyperlink r:id="rId167" ref="M78"/>
    <hyperlink r:id="rId168" ref="D79"/>
    <hyperlink r:id="rId169" ref="M79"/>
    <hyperlink r:id="rId170" ref="D80"/>
    <hyperlink r:id="rId171" ref="M80"/>
    <hyperlink r:id="rId172" ref="D81"/>
    <hyperlink r:id="rId173" ref="M81"/>
    <hyperlink r:id="rId174" ref="D82"/>
    <hyperlink r:id="rId175" ref="M82"/>
    <hyperlink r:id="rId176" ref="D83"/>
    <hyperlink r:id="rId177" ref="M83"/>
    <hyperlink r:id="rId178" ref="D84"/>
    <hyperlink r:id="rId179" ref="M84"/>
    <hyperlink r:id="rId180" ref="D85"/>
    <hyperlink r:id="rId181" ref="M85"/>
    <hyperlink r:id="rId182" ref="D86"/>
    <hyperlink r:id="rId183" ref="D87"/>
    <hyperlink r:id="rId184" ref="D88"/>
    <hyperlink r:id="rId185" ref="D89"/>
    <hyperlink r:id="rId186" ref="D90"/>
    <hyperlink r:id="rId187" ref="D91"/>
    <hyperlink r:id="rId188" ref="D92"/>
    <hyperlink r:id="rId189" ref="D93"/>
    <hyperlink r:id="rId190" ref="D94"/>
    <hyperlink r:id="rId191" ref="D95"/>
    <hyperlink r:id="rId192" ref="D96"/>
    <hyperlink r:id="rId193" ref="D97"/>
    <hyperlink r:id="rId194" ref="D98"/>
    <hyperlink r:id="rId195" ref="D99"/>
    <hyperlink r:id="rId196" ref="D100"/>
  </hyperlinks>
  <drawing r:id="rId197"/>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20.13"/>
    <col customWidth="1" min="6" max="6" width="22.38"/>
    <col customWidth="1" min="7" max="7" width="11.38"/>
    <col customWidth="1" min="8" max="8" width="43.88"/>
    <col customWidth="1" min="9" max="11" width="0.63"/>
    <col customWidth="1" min="12" max="12" width="11.88"/>
    <col customWidth="1" min="13" max="13" width="48.0"/>
    <col customWidth="1" min="14" max="14" width="18.88"/>
    <col customWidth="1" min="15" max="15" width="22.38"/>
    <col customWidth="1" min="16" max="16" width="11.38"/>
    <col customWidth="1" min="17" max="17" width="43.88"/>
    <col customWidth="1" min="18" max="19" width="0.63"/>
  </cols>
  <sheetData>
    <row r="1" ht="27.75" customHeight="1" outlineLevel="1">
      <c r="A1" s="130"/>
      <c r="B1" s="130"/>
      <c r="C1" s="131" t="s">
        <v>1068</v>
      </c>
      <c r="I1" s="130"/>
      <c r="J1" s="130"/>
      <c r="K1" s="130"/>
      <c r="L1" s="131" t="s">
        <v>1227</v>
      </c>
      <c r="R1" s="130"/>
      <c r="S1" s="130"/>
    </row>
    <row r="2" outlineLevel="1">
      <c r="A2" s="132"/>
      <c r="B2" s="132"/>
      <c r="C2" s="133" t="s">
        <v>1986</v>
      </c>
      <c r="I2" s="132"/>
      <c r="J2" s="132"/>
      <c r="K2" s="132"/>
      <c r="L2" s="133" t="s">
        <v>1986</v>
      </c>
      <c r="R2" s="132"/>
      <c r="S2" s="132"/>
    </row>
    <row r="3" ht="51.75" customHeight="1" outlineLevel="1">
      <c r="A3" s="134"/>
      <c r="B3" s="134"/>
      <c r="C3" s="135" t="str">
        <f>IFERROR(__xludf.DUMMYFUNCTION("IFERROR(UNIQUE(FILTER('Competency Learning Paths'!N:N,'Competency Learning Paths'!A:A= C1)))"),"Artificial intelligence (AI), development of 'thinking' computer systems. expert system, systems can learn from data, foundational science and technologies")</f>
        <v>Artificial intelligence (AI), development of 'thinking' computer systems. expert system, systems can learn from data, foundational science and technologies</v>
      </c>
      <c r="I3" s="134"/>
      <c r="J3" s="134"/>
      <c r="K3" s="134"/>
      <c r="L3" s="135" t="str">
        <f>IFERROR(__xludf.DUMMYFUNCTION("IFERROR(UNIQUE(FILTER('Competency Learning Paths'!N:N,'Competency Learning Paths'!A:A= L1)))"),"Change Leadership, Innovation Management, Managing Change, Facilitating Change")</f>
        <v>Change Leadership, Innovation Management, Managing Change, Facilitating Change</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IFERROR(__xludf.DUMMYFUNCTION("""COMPUTED_VALUE"""),786415.0)</f>
        <v>786415</v>
      </c>
      <c r="D5" s="142" t="str">
        <f>IFERROR(__xludf.DUMMYFUNCTION("""COMPUTED_VALUE"""),"RPA, AI, and Cognitive Tech for Leaders")</f>
        <v>RPA, AI, and Cognitive Tech for Leaders</v>
      </c>
      <c r="E5" s="141" t="str">
        <f>IFERROR(__xludf.DUMMYFUNCTION("""COMPUTED_VALUE"""),"C-Suite")</f>
        <v>C-Suite</v>
      </c>
      <c r="F5" s="141" t="str">
        <f>IFERROR(__xludf.DUMMYFUNCTION("""COMPUTED_VALUE"""),"Beginner")</f>
        <v>Beginner</v>
      </c>
      <c r="G5" s="143">
        <f>IFERROR(__xludf.DUMMYFUNCTION("""COMPUTED_VALUE"""),0.0371875)</f>
        <v>0.0371875</v>
      </c>
      <c r="H5" s="144" t="str">
        <f>IFERROR(__xludf.DUMMYFUNCTION("""COMPUTED_VALUE"""),"Applying Lean, DevOps, and Agile to your IT Organization")</f>
        <v>Applying Lean, DevOps, and Agile to your IT Organization</v>
      </c>
      <c r="I5" s="140"/>
      <c r="J5" s="140"/>
      <c r="K5" s="140"/>
      <c r="L5" s="141">
        <f>IFERROR(__xludf.DUMMYFUNCTION("""COMPUTED_VALUE"""),608995.0)</f>
        <v>608995</v>
      </c>
      <c r="M5" s="145" t="str">
        <f>IFERROR(__xludf.DUMMYFUNCTION("""COMPUTED_VALUE"""),"Jeff Dyer on Innovation")</f>
        <v>Jeff Dyer on Innovation</v>
      </c>
      <c r="N5" s="141" t="str">
        <f>IFERROR(__xludf.DUMMYFUNCTION("""COMPUTED_VALUE"""),"C-Suite")</f>
        <v>C-Suite</v>
      </c>
      <c r="O5" s="141" t="str">
        <f>IFERROR(__xludf.DUMMYFUNCTION("""COMPUTED_VALUE"""),"General")</f>
        <v>General</v>
      </c>
      <c r="P5" s="146">
        <f>IFERROR(__xludf.DUMMYFUNCTION("""COMPUTED_VALUE"""),0.04290509259259259)</f>
        <v>0.04290509259</v>
      </c>
      <c r="Q5" s="144" t="str">
        <f>IFERROR(__xludf.DUMMYFUNCTION("""COMPUTED_VALUE"""),"Become a Thought Leader")</f>
        <v>Become a Thought Leader</v>
      </c>
      <c r="R5" s="140"/>
      <c r="S5" s="140"/>
    </row>
    <row r="6" ht="33.75" customHeight="1">
      <c r="A6" s="140"/>
      <c r="B6" s="140"/>
      <c r="C6" s="147">
        <f>IFERROR(__xludf.DUMMYFUNCTION("""COMPUTED_VALUE"""),601798.0)</f>
        <v>601798</v>
      </c>
      <c r="D6" s="148" t="str">
        <f>IFERROR(__xludf.DUMMYFUNCTION("""COMPUTED_VALUE"""),"Artificial Intelligence Foundations: Thinking Machines")</f>
        <v>Artificial Intelligence Foundations: Thinking Machines</v>
      </c>
      <c r="E6" s="147" t="str">
        <f>IFERROR(__xludf.DUMMYFUNCTION("""COMPUTED_VALUE"""),"C-Suite")</f>
        <v>C-Suite</v>
      </c>
      <c r="F6" s="141" t="str">
        <f>IFERROR(__xludf.DUMMYFUNCTION("""COMPUTED_VALUE"""),"Beginner")</f>
        <v>Beginner</v>
      </c>
      <c r="G6" s="143">
        <f>IFERROR(__xludf.DUMMYFUNCTION("""COMPUTED_VALUE"""),0.06072916666666667)</f>
        <v>0.06072916667</v>
      </c>
      <c r="H6" s="149" t="str">
        <f>IFERROR(__xludf.DUMMYFUNCTION("""COMPUTED_VALUE"""),"Advance Your Skills in the Blockchain")</f>
        <v>Advance Your Skills in the Blockchain</v>
      </c>
      <c r="I6" s="140"/>
      <c r="J6" s="140"/>
      <c r="K6" s="140"/>
      <c r="L6" s="147">
        <f>IFERROR(__xludf.DUMMYFUNCTION("""COMPUTED_VALUE"""),585010.0)</f>
        <v>585010</v>
      </c>
      <c r="M6" s="150" t="str">
        <f>IFERROR(__xludf.DUMMYFUNCTION("""COMPUTED_VALUE"""),"Leading with Innovation")</f>
        <v>Leading with Innovation</v>
      </c>
      <c r="N6" s="147" t="str">
        <f>IFERROR(__xludf.DUMMYFUNCTION("""COMPUTED_VALUE"""),"C-Suite")</f>
        <v>C-Suite</v>
      </c>
      <c r="O6" s="141" t="str">
        <f>IFERROR(__xludf.DUMMYFUNCTION("""COMPUTED_VALUE"""),"Beginner + Intermediate")</f>
        <v>Beginner + Intermediate</v>
      </c>
      <c r="P6" s="146">
        <f>IFERROR(__xludf.DUMMYFUNCTION("""COMPUTED_VALUE"""),0.0635300925925926)</f>
        <v>0.06353009259</v>
      </c>
      <c r="Q6" s="149" t="str">
        <f>IFERROR(__xludf.DUMMYFUNCTION("""COMPUTED_VALUE"""),"Digital Transformation for Leaders")</f>
        <v>Digital Transformation for Leaders</v>
      </c>
      <c r="R6" s="140"/>
      <c r="S6" s="140"/>
    </row>
    <row r="7" ht="33.75" customHeight="1">
      <c r="A7" s="140"/>
      <c r="B7" s="140"/>
      <c r="C7" s="147">
        <f>IFERROR(__xludf.DUMMYFUNCTION("""COMPUTED_VALUE"""),601797.0)</f>
        <v>601797</v>
      </c>
      <c r="D7" s="148" t="str">
        <f>IFERROR(__xludf.DUMMYFUNCTION("""COMPUTED_VALUE"""),"Artificial Intelligence Foundations: Machine Learning")</f>
        <v>Artificial Intelligence Foundations: Machine Learning</v>
      </c>
      <c r="E7" s="147" t="str">
        <f>IFERROR(__xludf.DUMMYFUNCTION("""COMPUTED_VALUE"""),"C-Suite")</f>
        <v>C-Suite</v>
      </c>
      <c r="F7" s="141" t="str">
        <f>IFERROR(__xludf.DUMMYFUNCTION("""COMPUTED_VALUE"""),"Beginner")</f>
        <v>Beginner</v>
      </c>
      <c r="G7" s="143">
        <f>IFERROR(__xludf.DUMMYFUNCTION("""COMPUTED_VALUE"""),0.05403935185185185)</f>
        <v>0.05403935185</v>
      </c>
      <c r="H7" s="149" t="str">
        <f>IFERROR(__xludf.DUMMYFUNCTION("""COMPUTED_VALUE"""),"Advance Your Skills as an Azure IT Administrator")</f>
        <v>Advance Your Skills as an Azure IT Administrator</v>
      </c>
      <c r="I7" s="140"/>
      <c r="J7" s="140"/>
      <c r="K7" s="140"/>
      <c r="L7" s="147">
        <f>IFERROR(__xludf.DUMMYFUNCTION("""COMPUTED_VALUE"""),5015872.0)</f>
        <v>5015872</v>
      </c>
      <c r="M7" s="150" t="str">
        <f>IFERROR(__xludf.DUMMYFUNCTION("""COMPUTED_VALUE"""),"Built to Last: Successful Habits of Visionary Companies (Blinkist Summary)")</f>
        <v>Built to Last: Successful Habits of Visionary Companies (Blinkist Summary)</v>
      </c>
      <c r="N7" s="147" t="str">
        <f>IFERROR(__xludf.DUMMYFUNCTION("""COMPUTED_VALUE"""),"C-Suite")</f>
        <v>C-Suite</v>
      </c>
      <c r="O7" s="141" t="str">
        <f>IFERROR(__xludf.DUMMYFUNCTION("""COMPUTED_VALUE"""),"Intermediate")</f>
        <v>Intermediate</v>
      </c>
      <c r="P7" s="146">
        <f>IFERROR(__xludf.DUMMYFUNCTION("""COMPUTED_VALUE"""),0.012939814814814815)</f>
        <v>0.01293981481</v>
      </c>
      <c r="Q7" s="149" t="str">
        <f>IFERROR(__xludf.DUMMYFUNCTION("""COMPUTED_VALUE"""),"Digital Transformation for Tech Leaders")</f>
        <v>Digital Transformation for Tech Leaders</v>
      </c>
      <c r="R7" s="140"/>
      <c r="S7" s="140"/>
    </row>
    <row r="8" ht="33.75" customHeight="1">
      <c r="A8" s="140"/>
      <c r="B8" s="140"/>
      <c r="C8" s="147">
        <f>IFERROR(__xludf.DUMMYFUNCTION("""COMPUTED_VALUE"""),601799.0)</f>
        <v>601799</v>
      </c>
      <c r="D8" s="148" t="str">
        <f>IFERROR(__xludf.DUMMYFUNCTION("""COMPUTED_VALUE"""),"Artificial Intelligence Foundations: Neural Networks")</f>
        <v>Artificial Intelligence Foundations: Neural Networks</v>
      </c>
      <c r="E8" s="147" t="str">
        <f>IFERROR(__xludf.DUMMYFUNCTION("""COMPUTED_VALUE"""),"C-Suite")</f>
        <v>C-Suite</v>
      </c>
      <c r="F8" s="141" t="str">
        <f>IFERROR(__xludf.DUMMYFUNCTION("""COMPUTED_VALUE"""),"Beginner")</f>
        <v>Beginner</v>
      </c>
      <c r="G8" s="143">
        <f>IFERROR(__xludf.DUMMYFUNCTION("""COMPUTED_VALUE"""),0.05336805555555556)</f>
        <v>0.05336805556</v>
      </c>
      <c r="H8" s="149" t="str">
        <f>IFERROR(__xludf.DUMMYFUNCTION("""COMPUTED_VALUE"""),"Advance your Skills as an IT Help Desk Specialist")</f>
        <v>Advance your Skills as an IT Help Desk Specialist</v>
      </c>
      <c r="I8" s="140"/>
      <c r="J8" s="140"/>
      <c r="K8" s="140"/>
      <c r="L8" s="147">
        <f>IFERROR(__xludf.DUMMYFUNCTION("""COMPUTED_VALUE"""),431182.0)</f>
        <v>431182</v>
      </c>
      <c r="M8" s="150" t="str">
        <f>IFERROR(__xludf.DUMMYFUNCTION("""COMPUTED_VALUE"""),"Sustainability Strategies")</f>
        <v>Sustainability Strategies</v>
      </c>
      <c r="N8" s="147" t="str">
        <f>IFERROR(__xludf.DUMMYFUNCTION("""COMPUTED_VALUE"""),"C-Suite")</f>
        <v>C-Suite</v>
      </c>
      <c r="O8" s="141" t="str">
        <f>IFERROR(__xludf.DUMMYFUNCTION("""COMPUTED_VALUE"""),"Intermediate")</f>
        <v>Intermediate</v>
      </c>
      <c r="P8" s="146">
        <f>IFERROR(__xludf.DUMMYFUNCTION("""COMPUTED_VALUE"""),0.03908564814814815)</f>
        <v>0.03908564815</v>
      </c>
      <c r="Q8" s="149" t="str">
        <f>IFERROR(__xludf.DUMMYFUNCTION("""COMPUTED_VALUE"""),"Leading During Times of Change")</f>
        <v>Leading During Times of Change</v>
      </c>
      <c r="R8" s="140"/>
      <c r="S8" s="140"/>
    </row>
    <row r="9" ht="33.75" customHeight="1">
      <c r="A9" s="140"/>
      <c r="B9" s="140"/>
      <c r="C9" s="147">
        <f>IFERROR(__xludf.DUMMYFUNCTION("""COMPUTED_VALUE"""),5016719.0)</f>
        <v>5016719</v>
      </c>
      <c r="D9" s="148" t="str">
        <f>IFERROR(__xludf.DUMMYFUNCTION("""COMPUTED_VALUE"""),"Agile Software Development: Transforming your Organization")</f>
        <v>Agile Software Development: Transforming your Organization</v>
      </c>
      <c r="E9" s="147" t="str">
        <f>IFERROR(__xludf.DUMMYFUNCTION("""COMPUTED_VALUE"""),"C-Suite")</f>
        <v>C-Suite</v>
      </c>
      <c r="F9" s="141" t="str">
        <f>IFERROR(__xludf.DUMMYFUNCTION("""COMPUTED_VALUE"""),"Beginner")</f>
        <v>Beginner</v>
      </c>
      <c r="G9" s="143">
        <f>IFERROR(__xludf.DUMMYFUNCTION("""COMPUTED_VALUE"""),0.05679398148148148)</f>
        <v>0.05679398148</v>
      </c>
      <c r="H9" s="149" t="str">
        <f>IFERROR(__xludf.DUMMYFUNCTION("""COMPUTED_VALUE"""),"Advance Your Skills in AI and Machine Learning")</f>
        <v>Advance Your Skills in AI and Machine Learning</v>
      </c>
      <c r="I9" s="140"/>
      <c r="J9" s="140"/>
      <c r="K9" s="140"/>
      <c r="L9" s="147">
        <f>IFERROR(__xludf.DUMMYFUNCTION("""COMPUTED_VALUE"""),689761.0)</f>
        <v>689761</v>
      </c>
      <c r="M9" s="148" t="str">
        <f>IFERROR(__xludf.DUMMYFUNCTION("""COMPUTED_VALUE"""),"Creating a Culture of Change")</f>
        <v>Creating a Culture of Change</v>
      </c>
      <c r="N9" s="147" t="str">
        <f>IFERROR(__xludf.DUMMYFUNCTION("""COMPUTED_VALUE"""),"C-Suite")</f>
        <v>C-Suite</v>
      </c>
      <c r="O9" s="141" t="str">
        <f>IFERROR(__xludf.DUMMYFUNCTION("""COMPUTED_VALUE"""),"Advanced")</f>
        <v>Advanced</v>
      </c>
      <c r="P9" s="143">
        <f>IFERROR(__xludf.DUMMYFUNCTION("""COMPUTED_VALUE"""),0.03929398148148148)</f>
        <v>0.03929398148</v>
      </c>
      <c r="Q9" s="149" t="str">
        <f>IFERROR(__xludf.DUMMYFUNCTION("""COMPUTED_VALUE"""),"Managing Change")</f>
        <v>Managing Change</v>
      </c>
      <c r="R9" s="140"/>
      <c r="S9" s="140"/>
    </row>
    <row r="10" ht="33.75" customHeight="1">
      <c r="A10" s="140"/>
      <c r="B10" s="140"/>
      <c r="C10" s="147">
        <f>IFERROR(__xludf.DUMMYFUNCTION("""COMPUTED_VALUE"""),2890005.0)</f>
        <v>2890005</v>
      </c>
      <c r="D10" s="150" t="str">
        <f>IFERROR(__xludf.DUMMYFUNCTION("""COMPUTED_VALUE"""),"Accelerating Digital Transformation as Offices Reopen")</f>
        <v>Accelerating Digital Transformation as Offices Reopen</v>
      </c>
      <c r="E10" s="147" t="str">
        <f>IFERROR(__xludf.DUMMYFUNCTION("""COMPUTED_VALUE"""),"C-Suite")</f>
        <v>C-Suite</v>
      </c>
      <c r="F10" s="141" t="str">
        <f>IFERROR(__xludf.DUMMYFUNCTION("""COMPUTED_VALUE"""),"Beginner")</f>
        <v>Beginner</v>
      </c>
      <c r="G10" s="143">
        <f>IFERROR(__xludf.DUMMYFUNCTION("""COMPUTED_VALUE"""),0.014513888888888889)</f>
        <v>0.01451388889</v>
      </c>
      <c r="H10" s="149" t="str">
        <f>IFERROR(__xludf.DUMMYFUNCTION("""COMPUTED_VALUE"""),"Advance Your Skills as a Computer Forensics Specialist")</f>
        <v>Advance Your Skills as a Computer Forensics Specialist</v>
      </c>
      <c r="I10" s="140"/>
      <c r="J10" s="140"/>
      <c r="K10" s="140"/>
      <c r="L10" s="147">
        <f>IFERROR(__xludf.DUMMYFUNCTION("""COMPUTED_VALUE"""),758617.0)</f>
        <v>758617</v>
      </c>
      <c r="M10" s="150" t="str">
        <f>IFERROR(__xludf.DUMMYFUNCTION("""COMPUTED_VALUE"""),"Leading Change")</f>
        <v>Leading Change</v>
      </c>
      <c r="N10" s="147" t="str">
        <f>IFERROR(__xludf.DUMMYFUNCTION("""COMPUTED_VALUE"""),"C-Suite")</f>
        <v>C-Suite</v>
      </c>
      <c r="O10" s="141" t="str">
        <f>IFERROR(__xludf.DUMMYFUNCTION("""COMPUTED_VALUE"""),"Advanced")</f>
        <v>Advanced</v>
      </c>
      <c r="P10" s="143">
        <f>IFERROR(__xludf.DUMMYFUNCTION("""COMPUTED_VALUE"""),0.05005787037037037)</f>
        <v>0.05005787037</v>
      </c>
      <c r="Q10" s="149" t="str">
        <f>IFERROR(__xludf.DUMMYFUNCTION("""COMPUTED_VALUE"""),"Manage Change and Develop Your Adaptability Skills")</f>
        <v>Manage Change and Develop Your Adaptability Skills</v>
      </c>
      <c r="R10" s="140"/>
      <c r="S10" s="140"/>
    </row>
    <row r="11" ht="33.75" customHeight="1">
      <c r="A11" s="140"/>
      <c r="B11" s="140"/>
      <c r="C11" s="147">
        <f>IFERROR(__xludf.DUMMYFUNCTION("""COMPUTED_VALUE"""),743170.0)</f>
        <v>743170</v>
      </c>
      <c r="D11" s="150" t="str">
        <f>IFERROR(__xludf.DUMMYFUNCTION("""COMPUTED_VALUE"""),"Foundations of The Fourth Industrial Revolution (Industry 4.0)")</f>
        <v>Foundations of The Fourth Industrial Revolution (Industry 4.0)</v>
      </c>
      <c r="E11" s="147" t="str">
        <f>IFERROR(__xludf.DUMMYFUNCTION("""COMPUTED_VALUE"""),"C-Suite")</f>
        <v>C-Suite</v>
      </c>
      <c r="F11" s="141" t="str">
        <f>IFERROR(__xludf.DUMMYFUNCTION("""COMPUTED_VALUE"""),"Beginner + Intermediate")</f>
        <v>Beginner + Intermediate</v>
      </c>
      <c r="G11" s="143">
        <f>IFERROR(__xludf.DUMMYFUNCTION("""COMPUTED_VALUE"""),0.07740740740740741)</f>
        <v>0.07740740741</v>
      </c>
      <c r="H11" s="149" t="str">
        <f>IFERROR(__xludf.DUMMYFUNCTION("""COMPUTED_VALUE"""),"Advance Your Skills in Deep Learning and Neural Networks")</f>
        <v>Advance Your Skills in Deep Learning and Neural Networks</v>
      </c>
      <c r="I11" s="140"/>
      <c r="J11" s="140"/>
      <c r="K11" s="140"/>
      <c r="L11" s="147">
        <f>IFERROR(__xludf.DUMMYFUNCTION("""COMPUTED_VALUE"""),772319.0)</f>
        <v>772319</v>
      </c>
      <c r="M11" s="150" t="str">
        <f>IFERROR(__xludf.DUMMYFUNCTION("""COMPUTED_VALUE"""),"Assessing Digital Maturity")</f>
        <v>Assessing Digital Maturity</v>
      </c>
      <c r="N11" s="147" t="str">
        <f>IFERROR(__xludf.DUMMYFUNCTION("""COMPUTED_VALUE"""),"C-Suite")</f>
        <v>C-Suite</v>
      </c>
      <c r="O11" s="141" t="str">
        <f>IFERROR(__xludf.DUMMYFUNCTION("""COMPUTED_VALUE"""),"Advanced")</f>
        <v>Advanced</v>
      </c>
      <c r="P11" s="143">
        <f>IFERROR(__xludf.DUMMYFUNCTION("""COMPUTED_VALUE"""),0.027523148148148147)</f>
        <v>0.02752314815</v>
      </c>
      <c r="Q11" s="149" t="str">
        <f>IFERROR(__xludf.DUMMYFUNCTION("""COMPUTED_VALUE"""),"Women in Leadership")</f>
        <v>Women in Leadership</v>
      </c>
      <c r="R11" s="140"/>
      <c r="S11" s="140"/>
    </row>
    <row r="12" ht="33.75" customHeight="1">
      <c r="A12" s="140"/>
      <c r="B12" s="140"/>
      <c r="C12" s="147">
        <f>IFERROR(__xludf.DUMMYFUNCTION("""COMPUTED_VALUE"""),2818081.0)</f>
        <v>2818081</v>
      </c>
      <c r="D12" s="150" t="str">
        <f>IFERROR(__xludf.DUMMYFUNCTION("""COMPUTED_VALUE"""),"Lean Technology Strategy: Managing the Innovation Portfolio")</f>
        <v>Lean Technology Strategy: Managing the Innovation Portfolio</v>
      </c>
      <c r="E12" s="147" t="str">
        <f>IFERROR(__xludf.DUMMYFUNCTION("""COMPUTED_VALUE"""),"C-Suite")</f>
        <v>C-Suite</v>
      </c>
      <c r="F12" s="141" t="str">
        <f>IFERROR(__xludf.DUMMYFUNCTION("""COMPUTED_VALUE"""),"Intermediate")</f>
        <v>Intermediate</v>
      </c>
      <c r="G12" s="143">
        <f>IFERROR(__xludf.DUMMYFUNCTION("""COMPUTED_VALUE"""),0.029756944444444444)</f>
        <v>0.02975694444</v>
      </c>
      <c r="H12" s="149" t="str">
        <f>IFERROR(__xludf.DUMMYFUNCTION("""COMPUTED_VALUE"""),"Become an AI and Machine Learning Specialist Part 2")</f>
        <v>Become an AI and Machine Learning Specialist Part 2</v>
      </c>
      <c r="I12" s="140"/>
      <c r="J12" s="140"/>
      <c r="K12" s="140"/>
      <c r="L12" s="147">
        <f>IFERROR(__xludf.DUMMYFUNCTION("""COMPUTED_VALUE"""),2806194.0)</f>
        <v>2806194</v>
      </c>
      <c r="M12" s="150" t="str">
        <f>IFERROR(__xludf.DUMMYFUNCTION("""COMPUTED_VALUE"""),"Counterintuitive Leadership Strategies for a VUCA (Volatile, Uncertain, Complex, Ambiguous) Environment")</f>
        <v>Counterintuitive Leadership Strategies for a VUCA (Volatile, Uncertain, Complex, Ambiguous) Environment</v>
      </c>
      <c r="N12" s="147" t="str">
        <f>IFERROR(__xludf.DUMMYFUNCTION("""COMPUTED_VALUE"""),"C-Suite")</f>
        <v>C-Suite</v>
      </c>
      <c r="O12" s="141" t="str">
        <f>IFERROR(__xludf.DUMMYFUNCTION("""COMPUTED_VALUE"""),"Advanced")</f>
        <v>Advanced</v>
      </c>
      <c r="P12" s="143">
        <f>IFERROR(__xludf.DUMMYFUNCTION("""COMPUTED_VALUE"""),0.040150462962962964)</f>
        <v>0.04015046296</v>
      </c>
      <c r="Q12" s="151"/>
      <c r="R12" s="140"/>
      <c r="S12" s="140"/>
    </row>
    <row r="13" ht="33.75" customHeight="1">
      <c r="A13" s="140"/>
      <c r="B13" s="140"/>
      <c r="C13" s="147">
        <f>IFERROR(__xludf.DUMMYFUNCTION("""COMPUTED_VALUE"""),2810628.0)</f>
        <v>2810628</v>
      </c>
      <c r="D13" s="150" t="str">
        <f>IFERROR(__xludf.DUMMYFUNCTION("""COMPUTED_VALUE"""),"DevOps Foundations: Transforming the Enterprise")</f>
        <v>DevOps Foundations: Transforming the Enterprise</v>
      </c>
      <c r="E13" s="147" t="str">
        <f>IFERROR(__xludf.DUMMYFUNCTION("""COMPUTED_VALUE"""),"C-Suite")</f>
        <v>C-Suite</v>
      </c>
      <c r="F13" s="141" t="str">
        <f>IFERROR(__xludf.DUMMYFUNCTION("""COMPUTED_VALUE"""),"Intermediate")</f>
        <v>Intermediate</v>
      </c>
      <c r="G13" s="143">
        <f>IFERROR(__xludf.DUMMYFUNCTION("""COMPUTED_VALUE"""),0.04836805555555555)</f>
        <v>0.04836805556</v>
      </c>
      <c r="H13" s="149" t="str">
        <f>IFERROR(__xludf.DUMMYFUNCTION("""COMPUTED_VALUE"""),"Become an AWS Data and DevOps Specialist")</f>
        <v>Become an AWS Data and DevOps Specialist</v>
      </c>
      <c r="I13" s="140"/>
      <c r="J13" s="140"/>
      <c r="K13" s="140"/>
      <c r="L13" s="147">
        <f>IFERROR(__xludf.DUMMYFUNCTION("""COMPUTED_VALUE"""),2811712.0)</f>
        <v>2811712</v>
      </c>
      <c r="M13" s="150" t="str">
        <f>IFERROR(__xludf.DUMMYFUNCTION("""COMPUTED_VALUE"""),"Aaron Dignan on Transformational Change")</f>
        <v>Aaron Dignan on Transformational Change</v>
      </c>
      <c r="N13" s="147" t="str">
        <f>IFERROR(__xludf.DUMMYFUNCTION("""COMPUTED_VALUE"""),"C-Suite")</f>
        <v>C-Suite</v>
      </c>
      <c r="O13" s="141" t="str">
        <f>IFERROR(__xludf.DUMMYFUNCTION("""COMPUTED_VALUE"""),"General")</f>
        <v>General</v>
      </c>
      <c r="P13" s="143">
        <f>IFERROR(__xludf.DUMMYFUNCTION("""COMPUTED_VALUE"""),0.013125)</f>
        <v>0.013125</v>
      </c>
      <c r="Q13" s="151"/>
      <c r="R13" s="140"/>
      <c r="S13" s="140"/>
    </row>
    <row r="14" ht="33.75" customHeight="1">
      <c r="A14" s="140"/>
      <c r="B14" s="140"/>
      <c r="C14" s="147">
        <f>IFERROR(__xludf.DUMMYFUNCTION("""COMPUTED_VALUE"""),546059.0)</f>
        <v>546059</v>
      </c>
      <c r="D14" s="150" t="str">
        <f>IFERROR(__xludf.DUMMYFUNCTION("""COMPUTED_VALUE"""),"Make IT Work in Your Business")</f>
        <v>Make IT Work in Your Business</v>
      </c>
      <c r="E14" s="147" t="str">
        <f>IFERROR(__xludf.DUMMYFUNCTION("""COMPUTED_VALUE"""),"C-Suite")</f>
        <v>C-Suite</v>
      </c>
      <c r="F14" s="141" t="str">
        <f>IFERROR(__xludf.DUMMYFUNCTION("""COMPUTED_VALUE"""),"Intermediate")</f>
        <v>Intermediate</v>
      </c>
      <c r="G14" s="143">
        <f>IFERROR(__xludf.DUMMYFUNCTION("""COMPUTED_VALUE"""),0.0716087962962963)</f>
        <v>0.0716087963</v>
      </c>
      <c r="H14" s="149" t="str">
        <f>IFERROR(__xludf.DUMMYFUNCTION("""COMPUTED_VALUE"""),"Become a C++ Developer")</f>
        <v>Become a C++ Developer</v>
      </c>
      <c r="I14" s="140"/>
      <c r="J14" s="140"/>
      <c r="K14" s="140"/>
      <c r="L14" s="147">
        <f>IFERROR(__xludf.DUMMYFUNCTION("""COMPUTED_VALUE"""),2241053.0)</f>
        <v>2241053</v>
      </c>
      <c r="M14" s="150" t="str">
        <f>IFERROR(__xludf.DUMMYFUNCTION("""COMPUTED_VALUE"""),"Leading Organizations: Ten Timeless Truths (getAbstract Summary)")</f>
        <v>Leading Organizations: Ten Timeless Truths (getAbstract Summary)</v>
      </c>
      <c r="N14" s="147" t="str">
        <f>IFERROR(__xludf.DUMMYFUNCTION("""COMPUTED_VALUE"""),"C-Suite")</f>
        <v>C-Suite</v>
      </c>
      <c r="O14" s="141" t="str">
        <f>IFERROR(__xludf.DUMMYFUNCTION("""COMPUTED_VALUE"""),"General")</f>
        <v>General</v>
      </c>
      <c r="P14" s="143">
        <f>IFERROR(__xludf.DUMMYFUNCTION("""COMPUTED_VALUE"""),0.009641203703703704)</f>
        <v>0.009641203704</v>
      </c>
      <c r="Q14" s="151"/>
      <c r="R14" s="140"/>
      <c r="S14" s="140"/>
    </row>
    <row r="15" ht="33.75" customHeight="1">
      <c r="A15" s="140"/>
      <c r="B15" s="140"/>
      <c r="C15" s="147">
        <f>IFERROR(__xludf.DUMMYFUNCTION("""COMPUTED_VALUE"""),598478.0)</f>
        <v>598478</v>
      </c>
      <c r="D15" s="150" t="str">
        <f>IFERROR(__xludf.DUMMYFUNCTION("""COMPUTED_VALUE"""),"Implementing Your IT Strategy")</f>
        <v>Implementing Your IT Strategy</v>
      </c>
      <c r="E15" s="147" t="str">
        <f>IFERROR(__xludf.DUMMYFUNCTION("""COMPUTED_VALUE"""),"C-Suite")</f>
        <v>C-Suite</v>
      </c>
      <c r="F15" s="141" t="str">
        <f>IFERROR(__xludf.DUMMYFUNCTION("""COMPUTED_VALUE"""),"Advanced")</f>
        <v>Advanced</v>
      </c>
      <c r="G15" s="143">
        <f>IFERROR(__xludf.DUMMYFUNCTION("""COMPUTED_VALUE"""),0.027939814814814813)</f>
        <v>0.02793981481</v>
      </c>
      <c r="H15" s="149" t="str">
        <f>IFERROR(__xludf.DUMMYFUNCTION("""COMPUTED_VALUE"""),"Become a Cloud Administrator")</f>
        <v>Become a Cloud Administrator</v>
      </c>
      <c r="I15" s="140"/>
      <c r="J15" s="140"/>
      <c r="K15" s="140"/>
      <c r="L15" s="147">
        <f>IFERROR(__xludf.DUMMYFUNCTION("""COMPUTED_VALUE"""),2833088.0)</f>
        <v>2833088</v>
      </c>
      <c r="M15" s="150" t="str">
        <f>IFERROR(__xludf.DUMMYFUNCTION("""COMPUTED_VALUE"""),"Using Emotions to Leverage and Accelerate Change: A Guide for Leaders")</f>
        <v>Using Emotions to Leverage and Accelerate Change: A Guide for Leaders</v>
      </c>
      <c r="N15" s="147" t="str">
        <f>IFERROR(__xludf.DUMMYFUNCTION("""COMPUTED_VALUE"""),"Senior Manager")</f>
        <v>Senior Manager</v>
      </c>
      <c r="O15" s="141" t="str">
        <f>IFERROR(__xludf.DUMMYFUNCTION("""COMPUTED_VALUE"""),"Advanced")</f>
        <v>Advanced</v>
      </c>
      <c r="P15" s="143">
        <f>IFERROR(__xludf.DUMMYFUNCTION("""COMPUTED_VALUE"""),0.02144675925925926)</f>
        <v>0.02144675926</v>
      </c>
      <c r="Q15" s="151"/>
      <c r="R15" s="140"/>
      <c r="S15" s="140"/>
    </row>
    <row r="16" ht="33.75" customHeight="1">
      <c r="A16" s="140"/>
      <c r="B16" s="140"/>
      <c r="C16" s="147">
        <f>IFERROR(__xludf.DUMMYFUNCTION("""COMPUTED_VALUE"""),418270.0)</f>
        <v>418270</v>
      </c>
      <c r="D16" s="150" t="str">
        <f>IFERROR(__xludf.DUMMYFUNCTION("""COMPUTED_VALUE"""),"Creating Your IT Strategy")</f>
        <v>Creating Your IT Strategy</v>
      </c>
      <c r="E16" s="147" t="str">
        <f>IFERROR(__xludf.DUMMYFUNCTION("""COMPUTED_VALUE"""),"C-Suite")</f>
        <v>C-Suite</v>
      </c>
      <c r="F16" s="141" t="str">
        <f>IFERROR(__xludf.DUMMYFUNCTION("""COMPUTED_VALUE"""),"Advanced")</f>
        <v>Advanced</v>
      </c>
      <c r="G16" s="143">
        <f>IFERROR(__xludf.DUMMYFUNCTION("""COMPUTED_VALUE"""),0.03184027777777778)</f>
        <v>0.03184027778</v>
      </c>
      <c r="H16" s="149" t="str">
        <f>IFERROR(__xludf.DUMMYFUNCTION("""COMPUTED_VALUE"""),"Become an Excel 2013 Microsoft Office Specialist")</f>
        <v>Become an Excel 2013 Microsoft Office Specialist</v>
      </c>
      <c r="I16" s="140"/>
      <c r="J16" s="140"/>
      <c r="K16" s="140"/>
      <c r="L16" s="147">
        <f>IFERROR(__xludf.DUMMYFUNCTION("""COMPUTED_VALUE"""),2881200.0)</f>
        <v>2881200</v>
      </c>
      <c r="M16" s="150" t="str">
        <f>IFERROR(__xludf.DUMMYFUNCTION("""COMPUTED_VALUE"""),"Coaching Yourself and Your Team from Uncertainty to Action")</f>
        <v>Coaching Yourself and Your Team from Uncertainty to Action</v>
      </c>
      <c r="N16" s="147" t="str">
        <f>IFERROR(__xludf.DUMMYFUNCTION("""COMPUTED_VALUE"""),"Senior Manager")</f>
        <v>Senior Manager</v>
      </c>
      <c r="O16" s="141" t="str">
        <f>IFERROR(__xludf.DUMMYFUNCTION("""COMPUTED_VALUE"""),"Advanced")</f>
        <v>Advanced</v>
      </c>
      <c r="P16" s="143">
        <f>IFERROR(__xludf.DUMMYFUNCTION("""COMPUTED_VALUE"""),0.02181712962962963)</f>
        <v>0.02181712963</v>
      </c>
      <c r="Q16" s="151"/>
      <c r="R16" s="140"/>
      <c r="S16" s="140"/>
    </row>
    <row r="17" ht="33.75" customHeight="1">
      <c r="A17" s="140"/>
      <c r="B17" s="140"/>
      <c r="C17" s="147">
        <f>IFERROR(__xludf.DUMMYFUNCTION("""COMPUTED_VALUE"""),772319.0)</f>
        <v>772319</v>
      </c>
      <c r="D17" s="150" t="str">
        <f>IFERROR(__xludf.DUMMYFUNCTION("""COMPUTED_VALUE"""),"Assessing Digital Maturity")</f>
        <v>Assessing Digital Maturity</v>
      </c>
      <c r="E17" s="147" t="str">
        <f>IFERROR(__xludf.DUMMYFUNCTION("""COMPUTED_VALUE"""),"C-Suite")</f>
        <v>C-Suite</v>
      </c>
      <c r="F17" s="141" t="str">
        <f>IFERROR(__xludf.DUMMYFUNCTION("""COMPUTED_VALUE"""),"Advanced")</f>
        <v>Advanced</v>
      </c>
      <c r="G17" s="143">
        <f>IFERROR(__xludf.DUMMYFUNCTION("""COMPUTED_VALUE"""),0.027523148148148147)</f>
        <v>0.02752314815</v>
      </c>
      <c r="H17" s="149" t="str">
        <f>IFERROR(__xludf.DUMMYFUNCTION("""COMPUTED_VALUE"""),"Become a FileMaker Custom App Developer")</f>
        <v>Become a FileMaker Custom App Developer</v>
      </c>
      <c r="I17" s="140"/>
      <c r="J17" s="140"/>
      <c r="K17" s="140"/>
      <c r="L17" s="147">
        <f>IFERROR(__xludf.DUMMYFUNCTION("""COMPUTED_VALUE"""),2426605.0)</f>
        <v>2426605</v>
      </c>
      <c r="M17" s="150" t="str">
        <f>IFERROR(__xludf.DUMMYFUNCTION("""COMPUTED_VALUE"""),"How to Be an Inclusive Leader (getAbstract Summary)")</f>
        <v>How to Be an Inclusive Leader (getAbstract Summary)</v>
      </c>
      <c r="N17" s="147" t="str">
        <f>IFERROR(__xludf.DUMMYFUNCTION("""COMPUTED_VALUE"""),"Senior Manager")</f>
        <v>Senior Manager</v>
      </c>
      <c r="O17" s="141" t="str">
        <f>IFERROR(__xludf.DUMMYFUNCTION("""COMPUTED_VALUE"""),"Beginner")</f>
        <v>Beginner</v>
      </c>
      <c r="P17" s="143">
        <f>IFERROR(__xludf.DUMMYFUNCTION("""COMPUTED_VALUE"""),0.008287037037037037)</f>
        <v>0.008287037037</v>
      </c>
      <c r="Q17" s="151"/>
      <c r="R17" s="140"/>
      <c r="S17" s="140"/>
    </row>
    <row r="18" ht="33.75" customHeight="1">
      <c r="A18" s="140"/>
      <c r="B18" s="140"/>
      <c r="C18" s="147">
        <f>IFERROR(__xludf.DUMMYFUNCTION("""COMPUTED_VALUE"""),3007902.0)</f>
        <v>3007902</v>
      </c>
      <c r="D18" s="150" t="str">
        <f>IFERROR(__xludf.DUMMYFUNCTION("""COMPUTED_VALUE"""),"Artificial Intelligence and Business Strategy")</f>
        <v>Artificial Intelligence and Business Strategy</v>
      </c>
      <c r="E18" s="147" t="str">
        <f>IFERROR(__xludf.DUMMYFUNCTION("""COMPUTED_VALUE"""),"C-Suite")</f>
        <v>C-Suite</v>
      </c>
      <c r="F18" s="141" t="str">
        <f>IFERROR(__xludf.DUMMYFUNCTION("""COMPUTED_VALUE"""),"Advanced")</f>
        <v>Advanced</v>
      </c>
      <c r="G18" s="143">
        <f>IFERROR(__xludf.DUMMYFUNCTION("""COMPUTED_VALUE"""),0.06027777777777778)</f>
        <v>0.06027777778</v>
      </c>
      <c r="H18" s="149" t="str">
        <f>IFERROR(__xludf.DUMMYFUNCTION("""COMPUTED_VALUE"""),"Become an IT Security Specialist")</f>
        <v>Become an IT Security Specialist</v>
      </c>
      <c r="I18" s="140"/>
      <c r="J18" s="140"/>
      <c r="K18" s="140"/>
      <c r="L18" s="147">
        <f>IFERROR(__xludf.DUMMYFUNCTION("""COMPUTED_VALUE"""),2819181.0)</f>
        <v>2819181</v>
      </c>
      <c r="M18" s="150" t="str">
        <f>IFERROR(__xludf.DUMMYFUNCTION("""COMPUTED_VALUE"""),"Becoming an AI-First Product Leader")</f>
        <v>Becoming an AI-First Product Leader</v>
      </c>
      <c r="N18" s="147" t="str">
        <f>IFERROR(__xludf.DUMMYFUNCTION("""COMPUTED_VALUE"""),"Senior Manager")</f>
        <v>Senior Manager</v>
      </c>
      <c r="O18" s="141" t="str">
        <f>IFERROR(__xludf.DUMMYFUNCTION("""COMPUTED_VALUE"""),"Beginner")</f>
        <v>Beginner</v>
      </c>
      <c r="P18" s="143">
        <f>IFERROR(__xludf.DUMMYFUNCTION("""COMPUTED_VALUE"""),0.022650462962962963)</f>
        <v>0.02265046296</v>
      </c>
      <c r="Q18" s="151"/>
      <c r="R18" s="140"/>
      <c r="S18" s="140"/>
    </row>
    <row r="19" ht="33.75" customHeight="1">
      <c r="A19" s="140"/>
      <c r="B19" s="140"/>
      <c r="C19" s="147">
        <f>IFERROR(__xludf.DUMMYFUNCTION("""COMPUTED_VALUE"""),3019204.0)</f>
        <v>3019204</v>
      </c>
      <c r="D19" s="150" t="str">
        <f>IFERROR(__xludf.DUMMYFUNCTION("""COMPUTED_VALUE"""),"Artificial Intelligence and Business Strategy: Case Studies")</f>
        <v>Artificial Intelligence and Business Strategy: Case Studies</v>
      </c>
      <c r="E19" s="147" t="str">
        <f>IFERROR(__xludf.DUMMYFUNCTION("""COMPUTED_VALUE"""),"C-Suite")</f>
        <v>C-Suite</v>
      </c>
      <c r="F19" s="141" t="str">
        <f>IFERROR(__xludf.DUMMYFUNCTION("""COMPUTED_VALUE"""),"Advanced")</f>
        <v>Advanced</v>
      </c>
      <c r="G19" s="143">
        <f>IFERROR(__xludf.DUMMYFUNCTION("""COMPUTED_VALUE"""),0.0369212962962963)</f>
        <v>0.0369212963</v>
      </c>
      <c r="H19" s="149" t="str">
        <f>IFERROR(__xludf.DUMMYFUNCTION("""COMPUTED_VALUE"""),"Become an IT Technician")</f>
        <v>Become an IT Technician</v>
      </c>
      <c r="I19" s="140"/>
      <c r="J19" s="140"/>
      <c r="K19" s="140"/>
      <c r="L19" s="147">
        <f>IFERROR(__xludf.DUMMYFUNCTION("""COMPUTED_VALUE"""),370569.0)</f>
        <v>370569</v>
      </c>
      <c r="M19" s="150" t="str">
        <f>IFERROR(__xludf.DUMMYFUNCTION("""COMPUTED_VALUE"""),"Organization Communication")</f>
        <v>Organization Communication</v>
      </c>
      <c r="N19" s="147" t="str">
        <f>IFERROR(__xludf.DUMMYFUNCTION("""COMPUTED_VALUE"""),"Senior Manager")</f>
        <v>Senior Manager</v>
      </c>
      <c r="O19" s="141" t="str">
        <f>IFERROR(__xludf.DUMMYFUNCTION("""COMPUTED_VALUE"""),"General")</f>
        <v>General</v>
      </c>
      <c r="P19" s="143">
        <f>IFERROR(__xludf.DUMMYFUNCTION("""COMPUTED_VALUE"""),0.052569444444444446)</f>
        <v>0.05256944444</v>
      </c>
      <c r="Q19" s="151"/>
      <c r="R19" s="140"/>
      <c r="S19" s="140"/>
    </row>
    <row r="20" ht="33.75" customHeight="1">
      <c r="A20" s="140"/>
      <c r="B20" s="140"/>
      <c r="C20" s="147">
        <f>IFERROR(__xludf.DUMMYFUNCTION("""COMPUTED_VALUE"""),734650.0)</f>
        <v>734650</v>
      </c>
      <c r="D20" s="150" t="str">
        <f>IFERROR(__xludf.DUMMYFUNCTION("""COMPUTED_VALUE"""),"Cybersecurity for Executives")</f>
        <v>Cybersecurity for Executives</v>
      </c>
      <c r="E20" s="147" t="str">
        <f>IFERROR(__xludf.DUMMYFUNCTION("""COMPUTED_VALUE"""),"C-Suite")</f>
        <v>C-Suite</v>
      </c>
      <c r="F20" s="141" t="str">
        <f>IFERROR(__xludf.DUMMYFUNCTION("""COMPUTED_VALUE"""),"General")</f>
        <v>General</v>
      </c>
      <c r="G20" s="143">
        <f>IFERROR(__xludf.DUMMYFUNCTION("""COMPUTED_VALUE"""),0.07376157407407408)</f>
        <v>0.07376157407</v>
      </c>
      <c r="H20" s="149" t="str">
        <f>IFERROR(__xludf.DUMMYFUNCTION("""COMPUTED_VALUE"""),"Become an Outlook 2013 Microsoft Office Specialist")</f>
        <v>Become an Outlook 2013 Microsoft Office Specialist</v>
      </c>
      <c r="I20" s="140"/>
      <c r="J20" s="140"/>
      <c r="K20" s="140"/>
      <c r="L20" s="147">
        <f>IFERROR(__xludf.DUMMYFUNCTION("""COMPUTED_VALUE"""),2242045.0)</f>
        <v>2242045</v>
      </c>
      <c r="M20" s="150" t="str">
        <f>IFERROR(__xludf.DUMMYFUNCTION("""COMPUTED_VALUE"""),"The Purpose Effect (getAbstract Summary)")</f>
        <v>The Purpose Effect (getAbstract Summary)</v>
      </c>
      <c r="N20" s="147" t="str">
        <f>IFERROR(__xludf.DUMMYFUNCTION("""COMPUTED_VALUE"""),"Senior Manager")</f>
        <v>Senior Manager</v>
      </c>
      <c r="O20" s="141" t="str">
        <f>IFERROR(__xludf.DUMMYFUNCTION("""COMPUTED_VALUE"""),"General")</f>
        <v>General</v>
      </c>
      <c r="P20" s="143">
        <f>IFERROR(__xludf.DUMMYFUNCTION("""COMPUTED_VALUE"""),0.005138888888888889)</f>
        <v>0.005138888889</v>
      </c>
      <c r="Q20" s="151"/>
      <c r="R20" s="140"/>
      <c r="S20" s="140"/>
    </row>
    <row r="21" ht="33.75" customHeight="1">
      <c r="A21" s="140"/>
      <c r="B21" s="140"/>
      <c r="C21" s="147">
        <f>IFERROR(__xludf.DUMMYFUNCTION("""COMPUTED_VALUE"""),602523.0)</f>
        <v>602523</v>
      </c>
      <c r="D21" s="150" t="str">
        <f>IFERROR(__xludf.DUMMYFUNCTION("""COMPUTED_VALUE"""),"Understanding and Prioritizing Data Privacy")</f>
        <v>Understanding and Prioritizing Data Privacy</v>
      </c>
      <c r="E21" s="147" t="str">
        <f>IFERROR(__xludf.DUMMYFUNCTION("""COMPUTED_VALUE"""),"C-Suite")</f>
        <v>C-Suite</v>
      </c>
      <c r="F21" s="141" t="str">
        <f>IFERROR(__xludf.DUMMYFUNCTION("""COMPUTED_VALUE"""),"General")</f>
        <v>General</v>
      </c>
      <c r="G21" s="143">
        <f>IFERROR(__xludf.DUMMYFUNCTION("""COMPUTED_VALUE"""),0.05171296296296296)</f>
        <v>0.05171296296</v>
      </c>
      <c r="H21" s="149" t="str">
        <f>IFERROR(__xludf.DUMMYFUNCTION("""COMPUTED_VALUE"""),"Become a PowerPoint 2013 Microsoft Office Specialist")</f>
        <v>Become a PowerPoint 2013 Microsoft Office Specialist</v>
      </c>
      <c r="I21" s="140"/>
      <c r="J21" s="140"/>
      <c r="K21" s="140"/>
      <c r="L21" s="147">
        <f>IFERROR(__xludf.DUMMYFUNCTION("""COMPUTED_VALUE"""),2813223.0)</f>
        <v>2813223</v>
      </c>
      <c r="M21" s="150" t="str">
        <f>IFERROR(__xludf.DUMMYFUNCTION("""COMPUTED_VALUE"""),"Leading like a Futurist")</f>
        <v>Leading like a Futurist</v>
      </c>
      <c r="N21" s="147" t="str">
        <f>IFERROR(__xludf.DUMMYFUNCTION("""COMPUTED_VALUE"""),"Senior Manager")</f>
        <v>Senior Manager</v>
      </c>
      <c r="O21" s="141" t="str">
        <f>IFERROR(__xludf.DUMMYFUNCTION("""COMPUTED_VALUE"""),"General")</f>
        <v>General</v>
      </c>
      <c r="P21" s="143">
        <f>IFERROR(__xludf.DUMMYFUNCTION("""COMPUTED_VALUE"""),0.05261574074074074)</f>
        <v>0.05261574074</v>
      </c>
      <c r="Q21" s="151"/>
      <c r="R21" s="140"/>
      <c r="S21" s="140"/>
    </row>
    <row r="22" ht="33.75" customHeight="1">
      <c r="A22" s="140"/>
      <c r="B22" s="140"/>
      <c r="C22" s="147">
        <f>IFERROR(__xludf.DUMMYFUNCTION("""COMPUTED_VALUE"""),5034171.0)</f>
        <v>5034171</v>
      </c>
      <c r="D22" s="150" t="str">
        <f>IFERROR(__xludf.DUMMYFUNCTION("""COMPUTED_VALUE"""),"Introduction to Quantum Computing")</f>
        <v>Introduction to Quantum Computing</v>
      </c>
      <c r="E22" s="147" t="str">
        <f>IFERROR(__xludf.DUMMYFUNCTION("""COMPUTED_VALUE"""),"C-Suite")</f>
        <v>C-Suite</v>
      </c>
      <c r="F22" s="141" t="str">
        <f>IFERROR(__xludf.DUMMYFUNCTION("""COMPUTED_VALUE"""),"General")</f>
        <v>General</v>
      </c>
      <c r="G22" s="143">
        <f>IFERROR(__xludf.DUMMYFUNCTION("""COMPUTED_VALUE"""),0.059027777777777776)</f>
        <v>0.05902777778</v>
      </c>
      <c r="H22" s="149" t="str">
        <f>IFERROR(__xludf.DUMMYFUNCTION("""COMPUTED_VALUE"""),"Become a Python Developer")</f>
        <v>Become a Python Developer</v>
      </c>
      <c r="I22" s="140"/>
      <c r="J22" s="140"/>
      <c r="K22" s="140"/>
      <c r="L22" s="147">
        <f>IFERROR(__xludf.DUMMYFUNCTION("""COMPUTED_VALUE"""),2300012.0)</f>
        <v>2300012</v>
      </c>
      <c r="M22" s="150" t="str">
        <f>IFERROR(__xludf.DUMMYFUNCTION("""COMPUTED_VALUE"""),"Navigating Environmental Sustainability: A Guide for Leaders")</f>
        <v>Navigating Environmental Sustainability: A Guide for Leaders</v>
      </c>
      <c r="N22" s="147" t="str">
        <f>IFERROR(__xludf.DUMMYFUNCTION("""COMPUTED_VALUE"""),"Senior Manager")</f>
        <v>Senior Manager</v>
      </c>
      <c r="O22" s="141" t="str">
        <f>IFERROR(__xludf.DUMMYFUNCTION("""COMPUTED_VALUE"""),"General")</f>
        <v>General</v>
      </c>
      <c r="P22" s="143">
        <f>IFERROR(__xludf.DUMMYFUNCTION("""COMPUTED_VALUE"""),0.011770833333333333)</f>
        <v>0.01177083333</v>
      </c>
      <c r="Q22" s="151"/>
      <c r="R22" s="140"/>
      <c r="S22" s="140"/>
    </row>
    <row r="23" ht="33.75" customHeight="1">
      <c r="A23" s="140"/>
      <c r="B23" s="140"/>
      <c r="C23" s="147">
        <f>IFERROR(__xludf.DUMMYFUNCTION("""COMPUTED_VALUE"""),2814099.0)</f>
        <v>2814099</v>
      </c>
      <c r="D23" s="150" t="str">
        <f>IFERROR(__xludf.DUMMYFUNCTION("""COMPUTED_VALUE"""),"Introduction to Digital Twins")</f>
        <v>Introduction to Digital Twins</v>
      </c>
      <c r="E23" s="147" t="str">
        <f>IFERROR(__xludf.DUMMYFUNCTION("""COMPUTED_VALUE"""),"C-Suite")</f>
        <v>C-Suite</v>
      </c>
      <c r="F23" s="141" t="str">
        <f>IFERROR(__xludf.DUMMYFUNCTION("""COMPUTED_VALUE"""),"General")</f>
        <v>General</v>
      </c>
      <c r="G23" s="143">
        <f>IFERROR(__xludf.DUMMYFUNCTION("""COMPUTED_VALUE"""),0.038969907407407404)</f>
        <v>0.03896990741</v>
      </c>
      <c r="H23" s="149" t="str">
        <f>IFERROR(__xludf.DUMMYFUNCTION("""COMPUTED_VALUE"""),"Become an SEO Expert")</f>
        <v>Become an SEO Expert</v>
      </c>
      <c r="I23" s="140"/>
      <c r="J23" s="140"/>
      <c r="K23" s="140"/>
      <c r="L23" s="147">
        <f>IFERROR(__xludf.DUMMYFUNCTION("""COMPUTED_VALUE"""),5010646.0)</f>
        <v>5010646</v>
      </c>
      <c r="M23" s="150" t="str">
        <f>IFERROR(__xludf.DUMMYFUNCTION("""COMPUTED_VALUE"""),"Building Resilience as a Leader")</f>
        <v>Building Resilience as a Leader</v>
      </c>
      <c r="N23" s="147" t="str">
        <f>IFERROR(__xludf.DUMMYFUNCTION("""COMPUTED_VALUE"""),"Senior Manager")</f>
        <v>Senior Manager</v>
      </c>
      <c r="O23" s="141" t="str">
        <f>IFERROR(__xludf.DUMMYFUNCTION("""COMPUTED_VALUE"""),"Intermediate")</f>
        <v>Intermediate</v>
      </c>
      <c r="P23" s="143">
        <f>IFERROR(__xludf.DUMMYFUNCTION("""COMPUTED_VALUE"""),0.02980324074074074)</f>
        <v>0.02980324074</v>
      </c>
      <c r="Q23" s="151"/>
      <c r="R23" s="140"/>
      <c r="S23" s="140"/>
    </row>
    <row r="24" ht="33.75" customHeight="1">
      <c r="A24" s="140"/>
      <c r="B24" s="140"/>
      <c r="C24" s="147">
        <f>IFERROR(__xludf.DUMMYFUNCTION("""COMPUTED_VALUE"""),520232.0)</f>
        <v>520232</v>
      </c>
      <c r="D24" s="150" t="str">
        <f>IFERROR(__xludf.DUMMYFUNCTION("""COMPUTED_VALUE"""),"Implementing an Information Security Program")</f>
        <v>Implementing an Information Security Program</v>
      </c>
      <c r="E24" s="147" t="str">
        <f>IFERROR(__xludf.DUMMYFUNCTION("""COMPUTED_VALUE"""),"Senior Manager")</f>
        <v>Senior Manager</v>
      </c>
      <c r="F24" s="141" t="str">
        <f>IFERROR(__xludf.DUMMYFUNCTION("""COMPUTED_VALUE"""),"General")</f>
        <v>General</v>
      </c>
      <c r="G24" s="143">
        <f>IFERROR(__xludf.DUMMYFUNCTION("""COMPUTED_VALUE"""),0.1066087962962963)</f>
        <v>0.1066087963</v>
      </c>
      <c r="H24" s="149" t="str">
        <f>IFERROR(__xludf.DUMMYFUNCTION("""COMPUTED_VALUE"""),"Become a SharePoint 2013 Microsoft Office Specialist")</f>
        <v>Become a SharePoint 2013 Microsoft Office Specialist</v>
      </c>
      <c r="I24" s="140"/>
      <c r="J24" s="140"/>
      <c r="K24" s="140"/>
      <c r="L24" s="147">
        <f>IFERROR(__xludf.DUMMYFUNCTION("""COMPUTED_VALUE"""),520220.0)</f>
        <v>520220</v>
      </c>
      <c r="M24" s="150" t="str">
        <f>IFERROR(__xludf.DUMMYFUNCTION("""COMPUTED_VALUE"""),"Organizational Learning and Development")</f>
        <v>Organizational Learning and Development</v>
      </c>
      <c r="N24" s="147" t="str">
        <f>IFERROR(__xludf.DUMMYFUNCTION("""COMPUTED_VALUE"""),"Senior Manager")</f>
        <v>Senior Manager</v>
      </c>
      <c r="O24" s="141" t="str">
        <f>IFERROR(__xludf.DUMMYFUNCTION("""COMPUTED_VALUE"""),"Intermediate")</f>
        <v>Intermediate</v>
      </c>
      <c r="P24" s="143">
        <f>IFERROR(__xludf.DUMMYFUNCTION("""COMPUTED_VALUE"""),0.03736111111111111)</f>
        <v>0.03736111111</v>
      </c>
      <c r="Q24" s="151"/>
      <c r="R24" s="140"/>
      <c r="S24" s="140"/>
    </row>
    <row r="25" ht="33.75" customHeight="1">
      <c r="A25" s="140"/>
      <c r="B25" s="140"/>
      <c r="C25" s="147">
        <f>IFERROR(__xludf.DUMMYFUNCTION("""COMPUTED_VALUE"""),2866030.0)</f>
        <v>2866030</v>
      </c>
      <c r="D25" s="150" t="str">
        <f>IFERROR(__xludf.DUMMYFUNCTION("""COMPUTED_VALUE"""),"Intro to Service Management with ITIL® 4")</f>
        <v>Intro to Service Management with ITIL® 4</v>
      </c>
      <c r="E25" s="147" t="str">
        <f>IFERROR(__xludf.DUMMYFUNCTION("""COMPUTED_VALUE"""),"Manager")</f>
        <v>Manager</v>
      </c>
      <c r="F25" s="141" t="str">
        <f>IFERROR(__xludf.DUMMYFUNCTION("""COMPUTED_VALUE"""),"Beginner")</f>
        <v>Beginner</v>
      </c>
      <c r="G25" s="143">
        <f>IFERROR(__xludf.DUMMYFUNCTION("""COMPUTED_VALUE"""),0.06850694444444444)</f>
        <v>0.06850694444</v>
      </c>
      <c r="H25" s="149" t="str">
        <f>IFERROR(__xludf.DUMMYFUNCTION("""COMPUTED_VALUE"""),"Become a Word 2013 Microsoft Office Specialist")</f>
        <v>Become a Word 2013 Microsoft Office Specialist</v>
      </c>
      <c r="I25" s="140"/>
      <c r="J25" s="140"/>
      <c r="K25" s="140"/>
      <c r="L25" s="147">
        <f>IFERROR(__xludf.DUMMYFUNCTION("""COMPUTED_VALUE"""),580624.0)</f>
        <v>580624</v>
      </c>
      <c r="M25" s="150" t="str">
        <f>IFERROR(__xludf.DUMMYFUNCTION("""COMPUTED_VALUE"""),"Communicating in Times of Change")</f>
        <v>Communicating in Times of Change</v>
      </c>
      <c r="N25" s="147" t="str">
        <f>IFERROR(__xludf.DUMMYFUNCTION("""COMPUTED_VALUE"""),"Senior Manager")</f>
        <v>Senior Manager</v>
      </c>
      <c r="O25" s="141" t="str">
        <f>IFERROR(__xludf.DUMMYFUNCTION("""COMPUTED_VALUE"""),"Intermediate")</f>
        <v>Intermediate</v>
      </c>
      <c r="P25" s="143">
        <f>IFERROR(__xludf.DUMMYFUNCTION("""COMPUTED_VALUE"""),0.03596064814814815)</f>
        <v>0.03596064815</v>
      </c>
      <c r="Q25" s="151"/>
      <c r="R25" s="140"/>
      <c r="S25" s="140"/>
    </row>
    <row r="26" ht="33.75" customHeight="1">
      <c r="A26" s="140"/>
      <c r="B26" s="140"/>
      <c r="C26" s="147">
        <f>IFERROR(__xludf.DUMMYFUNCTION("""COMPUTED_VALUE"""),2873256.0)</f>
        <v>2873256</v>
      </c>
      <c r="D26" s="150" t="str">
        <f>IFERROR(__xludf.DUMMYFUNCTION("""COMPUTED_VALUE"""),"Inclusive Tech: The Case for Inclusive Leadership")</f>
        <v>Inclusive Tech: The Case for Inclusive Leadership</v>
      </c>
      <c r="E26" s="147" t="str">
        <f>IFERROR(__xludf.DUMMYFUNCTION("""COMPUTED_VALUE"""),"Manager")</f>
        <v>Manager</v>
      </c>
      <c r="F26" s="141" t="str">
        <f>IFERROR(__xludf.DUMMYFUNCTION("""COMPUTED_VALUE"""),"Beginner")</f>
        <v>Beginner</v>
      </c>
      <c r="G26" s="143">
        <f>IFERROR(__xludf.DUMMYFUNCTION("""COMPUTED_VALUE"""),0.04898148148148148)</f>
        <v>0.04898148148</v>
      </c>
      <c r="H26" s="149" t="str">
        <f>IFERROR(__xludf.DUMMYFUNCTION("""COMPUTED_VALUE"""),"Get Ahead in iOS App Development")</f>
        <v>Get Ahead in iOS App Development</v>
      </c>
      <c r="I26" s="140"/>
      <c r="J26" s="140"/>
      <c r="K26" s="140"/>
      <c r="L26" s="147">
        <f>IFERROR(__xludf.DUMMYFUNCTION("""COMPUTED_VALUE"""),2813183.0)</f>
        <v>2813183</v>
      </c>
      <c r="M26" s="150" t="str">
        <f>IFERROR(__xludf.DUMMYFUNCTION("""COMPUTED_VALUE"""),"Leading with Values")</f>
        <v>Leading with Values</v>
      </c>
      <c r="N26" s="147" t="str">
        <f>IFERROR(__xludf.DUMMYFUNCTION("""COMPUTED_VALUE"""),"Senior Manager")</f>
        <v>Senior Manager</v>
      </c>
      <c r="O26" s="141" t="str">
        <f>IFERROR(__xludf.DUMMYFUNCTION("""COMPUTED_VALUE"""),"Intermediate")</f>
        <v>Intermediate</v>
      </c>
      <c r="P26" s="143">
        <f>IFERROR(__xludf.DUMMYFUNCTION("""COMPUTED_VALUE"""),0.03140046296296296)</f>
        <v>0.03140046296</v>
      </c>
      <c r="Q26" s="151"/>
      <c r="R26" s="140"/>
      <c r="S26" s="140"/>
    </row>
    <row r="27" ht="33.75" customHeight="1">
      <c r="A27" s="140"/>
      <c r="B27" s="140"/>
      <c r="C27" s="147">
        <f>IFERROR(__xludf.DUMMYFUNCTION("""COMPUTED_VALUE"""),2424835.0)</f>
        <v>2424835</v>
      </c>
      <c r="D27" s="150" t="str">
        <f>IFERROR(__xludf.DUMMYFUNCTION("""COMPUTED_VALUE"""),"Become a Digital Trust &amp; Safety Leader")</f>
        <v>Become a Digital Trust &amp; Safety Leader</v>
      </c>
      <c r="E27" s="147" t="str">
        <f>IFERROR(__xludf.DUMMYFUNCTION("""COMPUTED_VALUE"""),"Manager")</f>
        <v>Manager</v>
      </c>
      <c r="F27" s="141" t="str">
        <f>IFERROR(__xludf.DUMMYFUNCTION("""COMPUTED_VALUE"""),"Beginner")</f>
        <v>Beginner</v>
      </c>
      <c r="G27" s="143">
        <f>IFERROR(__xludf.DUMMYFUNCTION("""COMPUTED_VALUE"""),0.06266203703703704)</f>
        <v>0.06266203704</v>
      </c>
      <c r="H27" s="149" t="str">
        <f>IFERROR(__xludf.DUMMYFUNCTION("""COMPUTED_VALUE"""),"Getting Started with Microsoft Excel")</f>
        <v>Getting Started with Microsoft Excel</v>
      </c>
      <c r="I27" s="140"/>
      <c r="J27" s="140"/>
      <c r="K27" s="140"/>
      <c r="L27" s="147">
        <f>IFERROR(__xludf.DUMMYFUNCTION("""COMPUTED_VALUE"""),2876230.0)</f>
        <v>2876230</v>
      </c>
      <c r="M27" s="150" t="str">
        <f>IFERROR(__xludf.DUMMYFUNCTION("""COMPUTED_VALUE"""),"Moving Past Change Fatigue to the Growth Edge")</f>
        <v>Moving Past Change Fatigue to the Growth Edge</v>
      </c>
      <c r="N27" s="147" t="str">
        <f>IFERROR(__xludf.DUMMYFUNCTION("""COMPUTED_VALUE"""),"Senior Manager")</f>
        <v>Senior Manager</v>
      </c>
      <c r="O27" s="141" t="str">
        <f>IFERROR(__xludf.DUMMYFUNCTION("""COMPUTED_VALUE"""),"Intermediate")</f>
        <v>Intermediate</v>
      </c>
      <c r="P27" s="143">
        <f>IFERROR(__xludf.DUMMYFUNCTION("""COMPUTED_VALUE"""),0.017708333333333333)</f>
        <v>0.01770833333</v>
      </c>
      <c r="Q27" s="151"/>
      <c r="R27" s="140"/>
      <c r="S27" s="140"/>
    </row>
    <row r="28" ht="33.75" customHeight="1">
      <c r="A28" s="140"/>
      <c r="B28" s="140"/>
      <c r="C28" s="147">
        <f>IFERROR(__xludf.DUMMYFUNCTION("""COMPUTED_VALUE"""),3007223.0)</f>
        <v>3007223</v>
      </c>
      <c r="D28" s="150" t="str">
        <f>IFERROR(__xludf.DUMMYFUNCTION("""COMPUTED_VALUE"""),"Technical Product Management")</f>
        <v>Technical Product Management</v>
      </c>
      <c r="E28" s="147" t="str">
        <f>IFERROR(__xludf.DUMMYFUNCTION("""COMPUTED_VALUE"""),"Manager")</f>
        <v>Manager</v>
      </c>
      <c r="F28" s="141" t="str">
        <f>IFERROR(__xludf.DUMMYFUNCTION("""COMPUTED_VALUE"""),"Beginner + Intermediate")</f>
        <v>Beginner + Intermediate</v>
      </c>
      <c r="G28" s="143">
        <f>IFERROR(__xludf.DUMMYFUNCTION("""COMPUTED_VALUE"""),0.04527777777777778)</f>
        <v>0.04527777778</v>
      </c>
      <c r="H28" s="149" t="str">
        <f>IFERROR(__xludf.DUMMYFUNCTION("""COMPUTED_VALUE"""),"Getting Started with Microsoft OneNote")</f>
        <v>Getting Started with Microsoft OneNote</v>
      </c>
      <c r="I28" s="140"/>
      <c r="J28" s="140"/>
      <c r="K28" s="140"/>
      <c r="L28" s="147">
        <f>IFERROR(__xludf.DUMMYFUNCTION("""COMPUTED_VALUE"""),2869096.0)</f>
        <v>2869096</v>
      </c>
      <c r="M28" s="150" t="str">
        <f>IFERROR(__xludf.DUMMYFUNCTION("""COMPUTED_VALUE"""),"Change Leadership")</f>
        <v>Change Leadership</v>
      </c>
      <c r="N28" s="147" t="str">
        <f>IFERROR(__xludf.DUMMYFUNCTION("""COMPUTED_VALUE"""),"Senior Manager")</f>
        <v>Senior Manager</v>
      </c>
      <c r="O28" s="141" t="str">
        <f>IFERROR(__xludf.DUMMYFUNCTION("""COMPUTED_VALUE"""),"Intermediate")</f>
        <v>Intermediate</v>
      </c>
      <c r="P28" s="143">
        <f>IFERROR(__xludf.DUMMYFUNCTION("""COMPUTED_VALUE"""),0.026006944444444444)</f>
        <v>0.02600694444</v>
      </c>
      <c r="Q28" s="151"/>
      <c r="R28" s="140"/>
      <c r="S28" s="140"/>
    </row>
    <row r="29" ht="33.75" customHeight="1">
      <c r="A29" s="140"/>
      <c r="B29" s="140"/>
      <c r="C29" s="147">
        <f>IFERROR(__xludf.DUMMYFUNCTION("""COMPUTED_VALUE"""),737753.0)</f>
        <v>737753</v>
      </c>
      <c r="D29" s="150" t="str">
        <f>IFERROR(__xludf.DUMMYFUNCTION("""COMPUTED_VALUE"""),"Learning XAI: Explainable Artificial Intelligence")</f>
        <v>Learning XAI: Explainable Artificial Intelligence</v>
      </c>
      <c r="E29" s="147" t="str">
        <f>IFERROR(__xludf.DUMMYFUNCTION("""COMPUTED_VALUE"""),"Manager")</f>
        <v>Manager</v>
      </c>
      <c r="F29" s="141" t="str">
        <f>IFERROR(__xludf.DUMMYFUNCTION("""COMPUTED_VALUE"""),"Beginner + Intermediate")</f>
        <v>Beginner + Intermediate</v>
      </c>
      <c r="G29" s="143">
        <f>IFERROR(__xludf.DUMMYFUNCTION("""COMPUTED_VALUE"""),0.051550925925925924)</f>
        <v>0.05155092593</v>
      </c>
      <c r="H29" s="149" t="str">
        <f>IFERROR(__xludf.DUMMYFUNCTION("""COMPUTED_VALUE"""),"Getting Started with Microsoft Outlook")</f>
        <v>Getting Started with Microsoft Outlook</v>
      </c>
      <c r="I29" s="140"/>
      <c r="J29" s="140"/>
      <c r="K29" s="140"/>
      <c r="L29" s="147">
        <f>IFERROR(__xludf.DUMMYFUNCTION("""COMPUTED_VALUE"""),5015873.0)</f>
        <v>5015873</v>
      </c>
      <c r="M29" s="150" t="str">
        <f>IFERROR(__xludf.DUMMYFUNCTION("""COMPUTED_VALUE"""),"Start with Why: How Great Leaders Inspire Everyone to Take Action (Blinkist Summary)")</f>
        <v>Start with Why: How Great Leaders Inspire Everyone to Take Action (Blinkist Summary)</v>
      </c>
      <c r="N29" s="147" t="str">
        <f>IFERROR(__xludf.DUMMYFUNCTION("""COMPUTED_VALUE"""),"Senior Manager")</f>
        <v>Senior Manager</v>
      </c>
      <c r="O29" s="141" t="str">
        <f>IFERROR(__xludf.DUMMYFUNCTION("""COMPUTED_VALUE"""),"Intermediate")</f>
        <v>Intermediate</v>
      </c>
      <c r="P29" s="143">
        <f>IFERROR(__xludf.DUMMYFUNCTION("""COMPUTED_VALUE"""),0.0096875)</f>
        <v>0.0096875</v>
      </c>
      <c r="Q29" s="151"/>
      <c r="R29" s="140"/>
      <c r="S29" s="140"/>
    </row>
    <row r="30" ht="33.75" customHeight="1">
      <c r="A30" s="140"/>
      <c r="B30" s="140"/>
      <c r="C30" s="147">
        <f>IFERROR(__xludf.DUMMYFUNCTION("""COMPUTED_VALUE"""),5025099.0)</f>
        <v>5025099</v>
      </c>
      <c r="D30" s="150" t="str">
        <f>IFERROR(__xludf.DUMMYFUNCTION("""COMPUTED_VALUE"""),"DevOps Foundations: Going Cloud Native")</f>
        <v>DevOps Foundations: Going Cloud Native</v>
      </c>
      <c r="E30" s="147" t="str">
        <f>IFERROR(__xludf.DUMMYFUNCTION("""COMPUTED_VALUE"""),"Manager")</f>
        <v>Manager</v>
      </c>
      <c r="F30" s="141" t="str">
        <f>IFERROR(__xludf.DUMMYFUNCTION("""COMPUTED_VALUE"""),"Intermediate")</f>
        <v>Intermediate</v>
      </c>
      <c r="G30" s="143">
        <f>IFERROR(__xludf.DUMMYFUNCTION("""COMPUTED_VALUE"""),0.031886574074074074)</f>
        <v>0.03188657407</v>
      </c>
      <c r="H30" s="149" t="str">
        <f>IFERROR(__xludf.DUMMYFUNCTION("""COMPUTED_VALUE"""),"Getting Started with Microsoft Word")</f>
        <v>Getting Started with Microsoft Word</v>
      </c>
      <c r="I30" s="140"/>
      <c r="J30" s="140"/>
      <c r="K30" s="140"/>
      <c r="L30" s="147">
        <f>IFERROR(__xludf.DUMMYFUNCTION("""COMPUTED_VALUE"""),2890106.0)</f>
        <v>2890106</v>
      </c>
      <c r="M30" s="150" t="str">
        <f>IFERROR(__xludf.DUMMYFUNCTION("""COMPUTED_VALUE"""),"Reorganize and Transition Your Team for Change")</f>
        <v>Reorganize and Transition Your Team for Change</v>
      </c>
      <c r="N30" s="147" t="str">
        <f>IFERROR(__xludf.DUMMYFUNCTION("""COMPUTED_VALUE"""),"Senior Manager")</f>
        <v>Senior Manager</v>
      </c>
      <c r="O30" s="141" t="str">
        <f>IFERROR(__xludf.DUMMYFUNCTION("""COMPUTED_VALUE"""),"Intermediate")</f>
        <v>Intermediate</v>
      </c>
      <c r="P30" s="143">
        <f>IFERROR(__xludf.DUMMYFUNCTION("""COMPUTED_VALUE"""),0.021805555555555557)</f>
        <v>0.02180555556</v>
      </c>
      <c r="Q30" s="151"/>
      <c r="R30" s="140"/>
      <c r="S30" s="140"/>
    </row>
    <row r="31" ht="33.75" customHeight="1">
      <c r="A31" s="140"/>
      <c r="B31" s="140"/>
      <c r="C31" s="147">
        <f>IFERROR(__xludf.DUMMYFUNCTION("""COMPUTED_VALUE"""),2814134.0)</f>
        <v>2814134</v>
      </c>
      <c r="D31" s="150" t="str">
        <f>IFERROR(__xludf.DUMMYFUNCTION("""COMPUTED_VALUE"""),"Tech Career Skills: Interviewing Developers")</f>
        <v>Tech Career Skills: Interviewing Developers</v>
      </c>
      <c r="E31" s="147" t="str">
        <f>IFERROR(__xludf.DUMMYFUNCTION("""COMPUTED_VALUE"""),"Manager")</f>
        <v>Manager</v>
      </c>
      <c r="F31" s="141" t="str">
        <f>IFERROR(__xludf.DUMMYFUNCTION("""COMPUTED_VALUE"""),"Intermediate")</f>
        <v>Intermediate</v>
      </c>
      <c r="G31" s="143">
        <f>IFERROR(__xludf.DUMMYFUNCTION("""COMPUTED_VALUE"""),0.05388888888888889)</f>
        <v>0.05388888889</v>
      </c>
      <c r="H31" s="149" t="str">
        <f>IFERROR(__xludf.DUMMYFUNCTION("""COMPUTED_VALUE"""),"Improve Your Continuous Delivery Skills")</f>
        <v>Improve Your Continuous Delivery Skills</v>
      </c>
      <c r="I31" s="140"/>
      <c r="J31" s="140"/>
      <c r="K31" s="140"/>
      <c r="L31" s="147">
        <f>IFERROR(__xludf.DUMMYFUNCTION("""COMPUTED_VALUE"""),2825404.0)</f>
        <v>2825404</v>
      </c>
      <c r="M31" s="150" t="str">
        <f>IFERROR(__xludf.DUMMYFUNCTION("""COMPUTED_VALUE"""),"Leading with Fearless Mindfulness")</f>
        <v>Leading with Fearless Mindfulness</v>
      </c>
      <c r="N31" s="147" t="str">
        <f>IFERROR(__xludf.DUMMYFUNCTION("""COMPUTED_VALUE"""),"Manager")</f>
        <v>Manager</v>
      </c>
      <c r="O31" s="141" t="str">
        <f>IFERROR(__xludf.DUMMYFUNCTION("""COMPUTED_VALUE"""),"Beginner")</f>
        <v>Beginner</v>
      </c>
      <c r="P31" s="143">
        <f>IFERROR(__xludf.DUMMYFUNCTION("""COMPUTED_VALUE"""),0.036863425925925924)</f>
        <v>0.03686342593</v>
      </c>
      <c r="Q31" s="151"/>
      <c r="R31" s="140"/>
      <c r="S31" s="140"/>
    </row>
    <row r="32" ht="33.75" customHeight="1">
      <c r="A32" s="140"/>
      <c r="B32" s="140"/>
      <c r="C32" s="147">
        <f>IFERROR(__xludf.DUMMYFUNCTION("""COMPUTED_VALUE"""),2865040.0)</f>
        <v>2865040</v>
      </c>
      <c r="D32" s="150" t="str">
        <f>IFERROR(__xludf.DUMMYFUNCTION("""COMPUTED_VALUE"""),"IT Service Management Foundations: Measures and Metrics")</f>
        <v>IT Service Management Foundations: Measures and Metrics</v>
      </c>
      <c r="E32" s="147" t="str">
        <f>IFERROR(__xludf.DUMMYFUNCTION("""COMPUTED_VALUE"""),"Manager")</f>
        <v>Manager</v>
      </c>
      <c r="F32" s="141" t="str">
        <f>IFERROR(__xludf.DUMMYFUNCTION("""COMPUTED_VALUE"""),"Intermediate")</f>
        <v>Intermediate</v>
      </c>
      <c r="G32" s="143">
        <f>IFERROR(__xludf.DUMMYFUNCTION("""COMPUTED_VALUE"""),0.06721064814814814)</f>
        <v>0.06721064815</v>
      </c>
      <c r="H32" s="149" t="str">
        <f>IFERROR(__xludf.DUMMYFUNCTION("""COMPUTED_VALUE"""),"Improve Your ITIL Skills")</f>
        <v>Improve Your ITIL Skills</v>
      </c>
      <c r="I32" s="140"/>
      <c r="J32" s="140"/>
      <c r="K32" s="140"/>
      <c r="L32" s="147">
        <f>IFERROR(__xludf.DUMMYFUNCTION("""COMPUTED_VALUE"""),2875338.0)</f>
        <v>2875338</v>
      </c>
      <c r="M32" s="150" t="str">
        <f>IFERROR(__xludf.DUMMYFUNCTION("""COMPUTED_VALUE"""),"Supporting Workers with Disabilities")</f>
        <v>Supporting Workers with Disabilities</v>
      </c>
      <c r="N32" s="147" t="str">
        <f>IFERROR(__xludf.DUMMYFUNCTION("""COMPUTED_VALUE"""),"Manager")</f>
        <v>Manager</v>
      </c>
      <c r="O32" s="141" t="str">
        <f>IFERROR(__xludf.DUMMYFUNCTION("""COMPUTED_VALUE"""),"Beginner")</f>
        <v>Beginner</v>
      </c>
      <c r="P32" s="143">
        <f>IFERROR(__xludf.DUMMYFUNCTION("""COMPUTED_VALUE"""),0.04016203703703704)</f>
        <v>0.04016203704</v>
      </c>
      <c r="Q32" s="151"/>
      <c r="R32" s="140"/>
      <c r="S32" s="140"/>
    </row>
    <row r="33" ht="33.75" customHeight="1">
      <c r="A33" s="140"/>
      <c r="B33" s="140"/>
      <c r="C33" s="147">
        <f>IFERROR(__xludf.DUMMYFUNCTION("""COMPUTED_VALUE"""),2835020.0)</f>
        <v>2835020</v>
      </c>
      <c r="D33" s="150" t="str">
        <f>IFERROR(__xludf.DUMMYFUNCTION("""COMPUTED_VALUE"""),"CCSP Cert Prep: 1 Cloud Concepts, Architecture, and Design Audio Review")</f>
        <v>CCSP Cert Prep: 1 Cloud Concepts, Architecture, and Design Audio Review</v>
      </c>
      <c r="E33" s="147" t="str">
        <f>IFERROR(__xludf.DUMMYFUNCTION("""COMPUTED_VALUE"""),"Manager")</f>
        <v>Manager</v>
      </c>
      <c r="F33" s="141" t="str">
        <f>IFERROR(__xludf.DUMMYFUNCTION("""COMPUTED_VALUE"""),"Intermediate")</f>
        <v>Intermediate</v>
      </c>
      <c r="G33" s="143">
        <f>IFERROR(__xludf.DUMMYFUNCTION("""COMPUTED_VALUE"""),0.017488425925925925)</f>
        <v>0.01748842593</v>
      </c>
      <c r="H33" s="149" t="str">
        <f>IFERROR(__xludf.DUMMYFUNCTION("""COMPUTED_VALUE"""),"Improve Your Microsoft Excel Skills")</f>
        <v>Improve Your Microsoft Excel Skills</v>
      </c>
      <c r="I33" s="140"/>
      <c r="J33" s="140"/>
      <c r="K33" s="140"/>
      <c r="L33" s="147">
        <f>IFERROR(__xludf.DUMMYFUNCTION("""COMPUTED_VALUE"""),2835013.0)</f>
        <v>2835013</v>
      </c>
      <c r="M33" s="150" t="str">
        <f>IFERROR(__xludf.DUMMYFUNCTION("""COMPUTED_VALUE"""),"Building Change Capability for Managers")</f>
        <v>Building Change Capability for Managers</v>
      </c>
      <c r="N33" s="147" t="str">
        <f>IFERROR(__xludf.DUMMYFUNCTION("""COMPUTED_VALUE"""),"Manager")</f>
        <v>Manager</v>
      </c>
      <c r="O33" s="141" t="str">
        <f>IFERROR(__xludf.DUMMYFUNCTION("""COMPUTED_VALUE"""),"Beginner + Intermediate")</f>
        <v>Beginner + Intermediate</v>
      </c>
      <c r="P33" s="143">
        <f>IFERROR(__xludf.DUMMYFUNCTION("""COMPUTED_VALUE"""),0.038657407407407404)</f>
        <v>0.03865740741</v>
      </c>
      <c r="Q33" s="151"/>
      <c r="R33" s="140"/>
      <c r="S33" s="140"/>
    </row>
    <row r="34" ht="33.75" customHeight="1">
      <c r="A34" s="140"/>
      <c r="B34" s="140"/>
      <c r="C34" s="147">
        <f>IFERROR(__xludf.DUMMYFUNCTION("""COMPUTED_VALUE"""),784278.0)</f>
        <v>784278</v>
      </c>
      <c r="D34" s="150" t="str">
        <f>IFERROR(__xludf.DUMMYFUNCTION("""COMPUTED_VALUE"""),"Managing and Working with a Technical Team for Nontechnical Professionals")</f>
        <v>Managing and Working with a Technical Team for Nontechnical Professionals</v>
      </c>
      <c r="E34" s="147" t="str">
        <f>IFERROR(__xludf.DUMMYFUNCTION("""COMPUTED_VALUE"""),"Manager")</f>
        <v>Manager</v>
      </c>
      <c r="F34" s="141" t="str">
        <f>IFERROR(__xludf.DUMMYFUNCTION("""COMPUTED_VALUE"""),"General")</f>
        <v>General</v>
      </c>
      <c r="G34" s="143">
        <f>IFERROR(__xludf.DUMMYFUNCTION("""COMPUTED_VALUE"""),0.034444444444444444)</f>
        <v>0.03444444444</v>
      </c>
      <c r="H34" s="149" t="str">
        <f>IFERROR(__xludf.DUMMYFUNCTION("""COMPUTED_VALUE"""),"Improve Your Tableau Skills")</f>
        <v>Improve Your Tableau Skills</v>
      </c>
      <c r="I34" s="140"/>
      <c r="J34" s="140"/>
      <c r="K34" s="140"/>
      <c r="L34" s="147">
        <f>IFERROR(__xludf.DUMMYFUNCTION("""COMPUTED_VALUE"""),2809355.0)</f>
        <v>2809355</v>
      </c>
      <c r="M34" s="150" t="str">
        <f>IFERROR(__xludf.DUMMYFUNCTION("""COMPUTED_VALUE"""),"Body Language for Leaders")</f>
        <v>Body Language for Leaders</v>
      </c>
      <c r="N34" s="147" t="str">
        <f>IFERROR(__xludf.DUMMYFUNCTION("""COMPUTED_VALUE"""),"Manager")</f>
        <v>Manager</v>
      </c>
      <c r="O34" s="141" t="str">
        <f>IFERROR(__xludf.DUMMYFUNCTION("""COMPUTED_VALUE"""),"General")</f>
        <v>General</v>
      </c>
      <c r="P34" s="143">
        <f>IFERROR(__xludf.DUMMYFUNCTION("""COMPUTED_VALUE"""),0.02738425925925926)</f>
        <v>0.02738425926</v>
      </c>
      <c r="Q34" s="151"/>
      <c r="R34" s="140"/>
      <c r="S34" s="140"/>
    </row>
    <row r="35" ht="33.75" customHeight="1">
      <c r="A35" s="140"/>
      <c r="B35" s="140"/>
      <c r="C35" s="147">
        <f>IFERROR(__xludf.DUMMYFUNCTION("""COMPUTED_VALUE"""),2864002.0)</f>
        <v>2864002</v>
      </c>
      <c r="D35" s="150" t="str">
        <f>IFERROR(__xludf.DUMMYFUNCTION("""COMPUTED_VALUE"""),"CompTIA Security+ (SY0-601) Cert Prep: 8 Network Security Design and Implementation")</f>
        <v>CompTIA Security+ (SY0-601) Cert Prep: 8 Network Security Design and Implementation</v>
      </c>
      <c r="E35" s="147" t="str">
        <f>IFERROR(__xludf.DUMMYFUNCTION("""COMPUTED_VALUE"""),"Individual Contributor")</f>
        <v>Individual Contributor</v>
      </c>
      <c r="F35" s="141" t="str">
        <f>IFERROR(__xludf.DUMMYFUNCTION("""COMPUTED_VALUE"""),"Beginner")</f>
        <v>Beginner</v>
      </c>
      <c r="G35" s="143">
        <f>IFERROR(__xludf.DUMMYFUNCTION("""COMPUTED_VALUE"""),0.16390046296296296)</f>
        <v>0.163900463</v>
      </c>
      <c r="H35" s="149" t="str">
        <f>IFERROR(__xludf.DUMMYFUNCTION("""COMPUTED_VALUE"""),"Master Cloud-Native Infrastructure with Kubernetes")</f>
        <v>Master Cloud-Native Infrastructure with Kubernetes</v>
      </c>
      <c r="I35" s="140"/>
      <c r="J35" s="140"/>
      <c r="K35" s="140"/>
      <c r="L35" s="147">
        <f>IFERROR(__xludf.DUMMYFUNCTION("""COMPUTED_VALUE"""),5022327.0)</f>
        <v>5022327</v>
      </c>
      <c r="M35" s="150" t="str">
        <f>IFERROR(__xludf.DUMMYFUNCTION("""COMPUTED_VALUE"""),"Leading Your Team Through Change")</f>
        <v>Leading Your Team Through Change</v>
      </c>
      <c r="N35" s="147" t="str">
        <f>IFERROR(__xludf.DUMMYFUNCTION("""COMPUTED_VALUE"""),"Manager")</f>
        <v>Manager</v>
      </c>
      <c r="O35" s="141" t="str">
        <f>IFERROR(__xludf.DUMMYFUNCTION("""COMPUTED_VALUE"""),"Intermediate")</f>
        <v>Intermediate</v>
      </c>
      <c r="P35" s="143">
        <f>IFERROR(__xludf.DUMMYFUNCTION("""COMPUTED_VALUE"""),0.014861111111111111)</f>
        <v>0.01486111111</v>
      </c>
      <c r="Q35" s="151"/>
      <c r="R35" s="140"/>
      <c r="S35" s="140"/>
    </row>
    <row r="36" ht="33.75" customHeight="1">
      <c r="A36" s="140"/>
      <c r="B36" s="140"/>
      <c r="C36" s="147">
        <f>IFERROR(__xludf.DUMMYFUNCTION("""COMPUTED_VALUE"""),2877130.0)</f>
        <v>2877130</v>
      </c>
      <c r="D36" s="150" t="str">
        <f>IFERROR(__xludf.DUMMYFUNCTION("""COMPUTED_VALUE"""),"Learning Claris Connect")</f>
        <v>Learning Claris Connect</v>
      </c>
      <c r="E36" s="147" t="str">
        <f>IFERROR(__xludf.DUMMYFUNCTION("""COMPUTED_VALUE"""),"Individual Contributor")</f>
        <v>Individual Contributor</v>
      </c>
      <c r="F36" s="141" t="str">
        <f>IFERROR(__xludf.DUMMYFUNCTION("""COMPUTED_VALUE"""),"Beginner")</f>
        <v>Beginner</v>
      </c>
      <c r="G36" s="143">
        <f>IFERROR(__xludf.DUMMYFUNCTION("""COMPUTED_VALUE"""),0.08474537037037037)</f>
        <v>0.08474537037</v>
      </c>
      <c r="H36" s="149" t="str">
        <f>IFERROR(__xludf.DUMMYFUNCTION("""COMPUTED_VALUE"""),"Master Digital Transformation")</f>
        <v>Master Digital Transformation</v>
      </c>
      <c r="I36" s="140"/>
      <c r="J36" s="140"/>
      <c r="K36" s="140"/>
      <c r="L36" s="147">
        <f>IFERROR(__xludf.DUMMYFUNCTION("""COMPUTED_VALUE"""),711796.0)</f>
        <v>711796</v>
      </c>
      <c r="M36" s="150" t="str">
        <f>IFERROR(__xludf.DUMMYFUNCTION("""COMPUTED_VALUE"""),"Managing Organizational Change for Managers")</f>
        <v>Managing Organizational Change for Managers</v>
      </c>
      <c r="N36" s="147" t="str">
        <f>IFERROR(__xludf.DUMMYFUNCTION("""COMPUTED_VALUE"""),"Manager")</f>
        <v>Manager</v>
      </c>
      <c r="O36" s="141" t="str">
        <f>IFERROR(__xludf.DUMMYFUNCTION("""COMPUTED_VALUE"""),"Intermediate")</f>
        <v>Intermediate</v>
      </c>
      <c r="P36" s="143">
        <f>IFERROR(__xludf.DUMMYFUNCTION("""COMPUTED_VALUE"""),0.05744212962962963)</f>
        <v>0.05744212963</v>
      </c>
      <c r="Q36" s="151"/>
      <c r="R36" s="140"/>
      <c r="S36" s="140"/>
    </row>
    <row r="37" ht="33.75" customHeight="1">
      <c r="A37" s="140"/>
      <c r="B37" s="140"/>
      <c r="C37" s="147">
        <f>IFERROR(__xludf.DUMMYFUNCTION("""COMPUTED_VALUE"""),2886012.0)</f>
        <v>2886012</v>
      </c>
      <c r="D37" s="150" t="str">
        <f>IFERROR(__xludf.DUMMYFUNCTION("""COMPUTED_VALUE"""),"Microsoft Dynamics 365 Sales Essential Training")</f>
        <v>Microsoft Dynamics 365 Sales Essential Training</v>
      </c>
      <c r="E37" s="147" t="str">
        <f>IFERROR(__xludf.DUMMYFUNCTION("""COMPUTED_VALUE"""),"Individual Contributor")</f>
        <v>Individual Contributor</v>
      </c>
      <c r="F37" s="141" t="str">
        <f>IFERROR(__xludf.DUMMYFUNCTION("""COMPUTED_VALUE"""),"Beginner")</f>
        <v>Beginner</v>
      </c>
      <c r="G37" s="143">
        <f>IFERROR(__xludf.DUMMYFUNCTION("""COMPUTED_VALUE"""),0.08030092592592593)</f>
        <v>0.08030092593</v>
      </c>
      <c r="H37" s="149" t="str">
        <f>IFERROR(__xludf.DUMMYFUNCTION("""COMPUTED_VALUE"""),"Master Microsoft Excel")</f>
        <v>Master Microsoft Excel</v>
      </c>
      <c r="I37" s="140"/>
      <c r="J37" s="140"/>
      <c r="K37" s="140"/>
      <c r="L37" s="147">
        <f>IFERROR(__xludf.DUMMYFUNCTION("""COMPUTED_VALUE"""),2875378.0)</f>
        <v>2875378</v>
      </c>
      <c r="M37" s="150" t="str">
        <f>IFERROR(__xludf.DUMMYFUNCTION("""COMPUTED_VALUE"""),"How to Support Your Employees' Well-Being")</f>
        <v>How to Support Your Employees' Well-Being</v>
      </c>
      <c r="N37" s="147" t="str">
        <f>IFERROR(__xludf.DUMMYFUNCTION("""COMPUTED_VALUE"""),"Manager")</f>
        <v>Manager</v>
      </c>
      <c r="O37" s="141" t="str">
        <f>IFERROR(__xludf.DUMMYFUNCTION("""COMPUTED_VALUE"""),"Intermediate")</f>
        <v>Intermediate</v>
      </c>
      <c r="P37" s="143">
        <f>IFERROR(__xludf.DUMMYFUNCTION("""COMPUTED_VALUE"""),0.024212962962962964)</f>
        <v>0.02421296296</v>
      </c>
      <c r="Q37" s="151"/>
      <c r="R37" s="140"/>
      <c r="S37" s="140"/>
    </row>
    <row r="38" ht="33.75" customHeight="1">
      <c r="A38" s="140"/>
      <c r="B38" s="140"/>
      <c r="C38" s="147">
        <f>IFERROR(__xludf.DUMMYFUNCTION("""COMPUTED_VALUE"""),2424328.0)</f>
        <v>2424328</v>
      </c>
      <c r="D38" s="150" t="str">
        <f>IFERROR(__xludf.DUMMYFUNCTION("""COMPUTED_VALUE"""),"Conversations on Cryptography")</f>
        <v>Conversations on Cryptography</v>
      </c>
      <c r="E38" s="147" t="str">
        <f>IFERROR(__xludf.DUMMYFUNCTION("""COMPUTED_VALUE"""),"Individual Contributor")</f>
        <v>Individual Contributor</v>
      </c>
      <c r="F38" s="141" t="str">
        <f>IFERROR(__xludf.DUMMYFUNCTION("""COMPUTED_VALUE"""),"Beginner")</f>
        <v>Beginner</v>
      </c>
      <c r="G38" s="143">
        <f>IFERROR(__xludf.DUMMYFUNCTION("""COMPUTED_VALUE"""),0.10037037037037037)</f>
        <v>0.1003703704</v>
      </c>
      <c r="H38" s="149" t="str">
        <f>IFERROR(__xludf.DUMMYFUNCTION("""COMPUTED_VALUE"""),"Master Microsoft OneNote")</f>
        <v>Master Microsoft OneNote</v>
      </c>
      <c r="I38" s="140"/>
      <c r="J38" s="140"/>
      <c r="K38" s="140"/>
      <c r="L38" s="147">
        <f>IFERROR(__xludf.DUMMYFUNCTION("""COMPUTED_VALUE"""),2894117.0)</f>
        <v>2894117</v>
      </c>
      <c r="M38" s="150" t="str">
        <f>IFERROR(__xludf.DUMMYFUNCTION("""COMPUTED_VALUE"""),"Change Management Tips for Leaders")</f>
        <v>Change Management Tips for Leaders</v>
      </c>
      <c r="N38" s="147" t="str">
        <f>IFERROR(__xludf.DUMMYFUNCTION("""COMPUTED_VALUE"""),"Manager")</f>
        <v>Manager</v>
      </c>
      <c r="O38" s="141" t="str">
        <f>IFERROR(__xludf.DUMMYFUNCTION("""COMPUTED_VALUE"""),"Intermediate")</f>
        <v>Intermediate</v>
      </c>
      <c r="P38" s="143">
        <f>IFERROR(__xludf.DUMMYFUNCTION("""COMPUTED_VALUE"""),0.011585648148148149)</f>
        <v>0.01158564815</v>
      </c>
      <c r="Q38" s="151"/>
      <c r="R38" s="140"/>
      <c r="S38" s="140"/>
    </row>
    <row r="39" ht="33.75" customHeight="1">
      <c r="A39" s="140"/>
      <c r="B39" s="140"/>
      <c r="C39" s="147">
        <f>IFERROR(__xludf.DUMMYFUNCTION("""COMPUTED_VALUE"""),2428500.0)</f>
        <v>2428500</v>
      </c>
      <c r="D39" s="150" t="str">
        <f>IFERROR(__xludf.DUMMYFUNCTION("""COMPUTED_VALUE"""),"IoT Foundations: Standards and Ecosystems")</f>
        <v>IoT Foundations: Standards and Ecosystems</v>
      </c>
      <c r="E39" s="147" t="str">
        <f>IFERROR(__xludf.DUMMYFUNCTION("""COMPUTED_VALUE"""),"Individual Contributor")</f>
        <v>Individual Contributor</v>
      </c>
      <c r="F39" s="141" t="str">
        <f>IFERROR(__xludf.DUMMYFUNCTION("""COMPUTED_VALUE"""),"Beginner")</f>
        <v>Beginner</v>
      </c>
      <c r="G39" s="143">
        <f>IFERROR(__xludf.DUMMYFUNCTION("""COMPUTED_VALUE"""),0.041840277777777775)</f>
        <v>0.04184027778</v>
      </c>
      <c r="H39" s="149" t="str">
        <f>IFERROR(__xludf.DUMMYFUNCTION("""COMPUTED_VALUE"""),"Master Microsoft Outlook")</f>
        <v>Master Microsoft Outlook</v>
      </c>
      <c r="I39" s="140"/>
      <c r="J39" s="140"/>
      <c r="K39" s="140"/>
      <c r="L39" s="147">
        <f>IFERROR(__xludf.DUMMYFUNCTION("""COMPUTED_VALUE"""),718628.0)</f>
        <v>718628</v>
      </c>
      <c r="M39" s="150" t="str">
        <f>IFERROR(__xludf.DUMMYFUNCTION("""COMPUTED_VALUE"""),"Cultivating a Growth Mindset")</f>
        <v>Cultivating a Growth Mindset</v>
      </c>
      <c r="N39" s="147" t="str">
        <f>IFERROR(__xludf.DUMMYFUNCTION("""COMPUTED_VALUE"""),"General")</f>
        <v>General</v>
      </c>
      <c r="O39" s="141" t="str">
        <f>IFERROR(__xludf.DUMMYFUNCTION("""COMPUTED_VALUE"""),"General")</f>
        <v>General</v>
      </c>
      <c r="P39" s="143">
        <f>IFERROR(__xludf.DUMMYFUNCTION("""COMPUTED_VALUE"""),0.0409375)</f>
        <v>0.0409375</v>
      </c>
      <c r="Q39" s="151"/>
      <c r="R39" s="140"/>
      <c r="S39" s="140"/>
    </row>
    <row r="40" ht="33.75" customHeight="1">
      <c r="A40" s="140"/>
      <c r="B40" s="140"/>
      <c r="C40" s="147">
        <f>IFERROR(__xludf.DUMMYFUNCTION("""COMPUTED_VALUE"""),2422669.0)</f>
        <v>2422669</v>
      </c>
      <c r="D40" s="150" t="str">
        <f>IFERROR(__xludf.DUMMYFUNCTION("""COMPUTED_VALUE"""),"Facilitating Remote Design Thinking")</f>
        <v>Facilitating Remote Design Thinking</v>
      </c>
      <c r="E40" s="147" t="str">
        <f>IFERROR(__xludf.DUMMYFUNCTION("""COMPUTED_VALUE"""),"Individual Contributor")</f>
        <v>Individual Contributor</v>
      </c>
      <c r="F40" s="141" t="str">
        <f>IFERROR(__xludf.DUMMYFUNCTION("""COMPUTED_VALUE"""),"Beginner + Intermediate")</f>
        <v>Beginner + Intermediate</v>
      </c>
      <c r="G40" s="143">
        <f>IFERROR(__xludf.DUMMYFUNCTION("""COMPUTED_VALUE"""),0.05708333333333333)</f>
        <v>0.05708333333</v>
      </c>
      <c r="H40" s="149" t="str">
        <f>IFERROR(__xludf.DUMMYFUNCTION("""COMPUTED_VALUE"""),"Master Microsoft Word")</f>
        <v>Master Microsoft Word</v>
      </c>
      <c r="I40" s="140"/>
      <c r="J40" s="140"/>
      <c r="K40" s="140"/>
      <c r="L40" s="147">
        <f>IFERROR(__xludf.DUMMYFUNCTION("""COMPUTED_VALUE"""),661751.0)</f>
        <v>661751</v>
      </c>
      <c r="M40" s="150" t="str">
        <f>IFERROR(__xludf.DUMMYFUNCTION("""COMPUTED_VALUE"""),"Developing a Learning Mindset")</f>
        <v>Developing a Learning Mindset</v>
      </c>
      <c r="N40" s="147" t="str">
        <f>IFERROR(__xludf.DUMMYFUNCTION("""COMPUTED_VALUE"""),"General")</f>
        <v>General</v>
      </c>
      <c r="O40" s="141" t="str">
        <f>IFERROR(__xludf.DUMMYFUNCTION("""COMPUTED_VALUE"""),"Beginner")</f>
        <v>Beginner</v>
      </c>
      <c r="P40" s="143">
        <f>IFERROR(__xludf.DUMMYFUNCTION("""COMPUTED_VALUE"""),0.021296296296296296)</f>
        <v>0.0212962963</v>
      </c>
      <c r="Q40" s="151"/>
      <c r="R40" s="140"/>
      <c r="S40" s="140"/>
    </row>
    <row r="41" ht="33.75" customHeight="1">
      <c r="A41" s="140"/>
      <c r="B41" s="140"/>
      <c r="C41" s="147">
        <f>IFERROR(__xludf.DUMMYFUNCTION("""COMPUTED_VALUE"""),2422824.0)</f>
        <v>2422824</v>
      </c>
      <c r="D41" s="150" t="str">
        <f>IFERROR(__xludf.DUMMYFUNCTION("""COMPUTED_VALUE"""),"Creating Accessible PDFs")</f>
        <v>Creating Accessible PDFs</v>
      </c>
      <c r="E41" s="147" t="str">
        <f>IFERROR(__xludf.DUMMYFUNCTION("""COMPUTED_VALUE"""),"Individual Contributor")</f>
        <v>Individual Contributor</v>
      </c>
      <c r="F41" s="141" t="str">
        <f>IFERROR(__xludf.DUMMYFUNCTION("""COMPUTED_VALUE"""),"Intermediate")</f>
        <v>Intermediate</v>
      </c>
      <c r="G41" s="143">
        <f>IFERROR(__xludf.DUMMYFUNCTION("""COMPUTED_VALUE"""),0.23188657407407406)</f>
        <v>0.2318865741</v>
      </c>
      <c r="H41" s="149" t="str">
        <f>IFERROR(__xludf.DUMMYFUNCTION("""COMPUTED_VALUE"""),"Prepare for the Excel 2013 Microsoft Office Specialist (MOS) Expert Exam")</f>
        <v>Prepare for the Excel 2013 Microsoft Office Specialist (MOS) Expert Exam</v>
      </c>
      <c r="I41" s="140"/>
      <c r="J41" s="140"/>
      <c r="K41" s="140"/>
      <c r="L41" s="147">
        <f>IFERROR(__xludf.DUMMYFUNCTION("""COMPUTED_VALUE"""),5015862.0)</f>
        <v>5015862</v>
      </c>
      <c r="M41" s="150" t="str">
        <f>IFERROR(__xludf.DUMMYFUNCTION("""COMPUTED_VALUE"""),"Embracing Unexpected Change")</f>
        <v>Embracing Unexpected Change</v>
      </c>
      <c r="N41" s="147" t="str">
        <f>IFERROR(__xludf.DUMMYFUNCTION("""COMPUTED_VALUE"""),"General")</f>
        <v>General</v>
      </c>
      <c r="O41" s="141" t="str">
        <f>IFERROR(__xludf.DUMMYFUNCTION("""COMPUTED_VALUE"""),"General")</f>
        <v>General</v>
      </c>
      <c r="P41" s="143">
        <f>IFERROR(__xludf.DUMMYFUNCTION("""COMPUTED_VALUE"""),0.009872685185185186)</f>
        <v>0.009872685185</v>
      </c>
      <c r="Q41" s="151"/>
      <c r="R41" s="140"/>
      <c r="S41" s="140"/>
    </row>
    <row r="42" ht="33.75" customHeight="1">
      <c r="A42" s="140"/>
      <c r="B42" s="140"/>
      <c r="C42" s="147">
        <f>IFERROR(__xludf.DUMMYFUNCTION("""COMPUTED_VALUE"""),2883181.0)</f>
        <v>2883181</v>
      </c>
      <c r="D42" s="150" t="str">
        <f>IFERROR(__xludf.DUMMYFUNCTION("""COMPUTED_VALUE"""),"Asset Accounting: Acquisitions in SAP S/4HANA")</f>
        <v>Asset Accounting: Acquisitions in SAP S/4HANA</v>
      </c>
      <c r="E42" s="147" t="str">
        <f>IFERROR(__xludf.DUMMYFUNCTION("""COMPUTED_VALUE"""),"Individual Contributor")</f>
        <v>Individual Contributor</v>
      </c>
      <c r="F42" s="141" t="str">
        <f>IFERROR(__xludf.DUMMYFUNCTION("""COMPUTED_VALUE"""),"Intermediate")</f>
        <v>Intermediate</v>
      </c>
      <c r="G42" s="143">
        <f>IFERROR(__xludf.DUMMYFUNCTION("""COMPUTED_VALUE"""),0.07341435185185186)</f>
        <v>0.07341435185</v>
      </c>
      <c r="H42" s="149" t="str">
        <f>IFERROR(__xludf.DUMMYFUNCTION("""COMPUTED_VALUE"""),"Prepare for the Word 2013 Microsoft Office Specialist (MOS) Expert Exam")</f>
        <v>Prepare for the Word 2013 Microsoft Office Specialist (MOS) Expert Exam</v>
      </c>
      <c r="I42" s="140"/>
      <c r="J42" s="140"/>
      <c r="K42" s="140"/>
      <c r="L42" s="147">
        <f>IFERROR(__xludf.DUMMYFUNCTION("""COMPUTED_VALUE"""),2807858.0)</f>
        <v>2807858</v>
      </c>
      <c r="M42" s="150" t="str">
        <f>IFERROR(__xludf.DUMMYFUNCTION("""COMPUTED_VALUE"""),"Women Transforming Tech: Getting Strategic with Your Career")</f>
        <v>Women Transforming Tech: Getting Strategic with Your Career</v>
      </c>
      <c r="N42" s="147" t="str">
        <f>IFERROR(__xludf.DUMMYFUNCTION("""COMPUTED_VALUE"""),"General")</f>
        <v>General</v>
      </c>
      <c r="O42" s="141" t="str">
        <f>IFERROR(__xludf.DUMMYFUNCTION("""COMPUTED_VALUE"""),"Beginner")</f>
        <v>Beginner</v>
      </c>
      <c r="P42" s="143">
        <f>IFERROR(__xludf.DUMMYFUNCTION("""COMPUTED_VALUE"""),0.011689814814814814)</f>
        <v>0.01168981481</v>
      </c>
      <c r="Q42" s="151"/>
      <c r="R42" s="140"/>
      <c r="S42" s="140"/>
    </row>
    <row r="43" ht="33.75" customHeight="1">
      <c r="A43" s="140"/>
      <c r="B43" s="140"/>
      <c r="C43" s="147">
        <f>IFERROR(__xludf.DUMMYFUNCTION("""COMPUTED_VALUE"""),2886217.0)</f>
        <v>2886217</v>
      </c>
      <c r="D43" s="150" t="str">
        <f>IFERROR(__xludf.DUMMYFUNCTION("""COMPUTED_VALUE"""),"SAP SuccessFactors Performance and Goals Management")</f>
        <v>SAP SuccessFactors Performance and Goals Management</v>
      </c>
      <c r="E43" s="147" t="str">
        <f>IFERROR(__xludf.DUMMYFUNCTION("""COMPUTED_VALUE"""),"Individual Contributor")</f>
        <v>Individual Contributor</v>
      </c>
      <c r="F43" s="141" t="str">
        <f>IFERROR(__xludf.DUMMYFUNCTION("""COMPUTED_VALUE"""),"Intermediate")</f>
        <v>Intermediate</v>
      </c>
      <c r="G43" s="143">
        <f>IFERROR(__xludf.DUMMYFUNCTION("""COMPUTED_VALUE"""),0.07015046296296296)</f>
        <v>0.07015046296</v>
      </c>
      <c r="H43" s="149" t="str">
        <f>IFERROR(__xludf.DUMMYFUNCTION("""COMPUTED_VALUE"""),"Succeed as a Remote IT Administrator")</f>
        <v>Succeed as a Remote IT Administrator</v>
      </c>
      <c r="I43" s="140"/>
      <c r="J43" s="140"/>
      <c r="K43" s="140"/>
      <c r="L43" s="147">
        <f>IFERROR(__xludf.DUMMYFUNCTION("""COMPUTED_VALUE"""),2810166.0)</f>
        <v>2810166</v>
      </c>
      <c r="M43" s="150" t="str">
        <f>IFERROR(__xludf.DUMMYFUNCTION("""COMPUTED_VALUE"""),"Women Transforming Tech: Breaking Bias")</f>
        <v>Women Transforming Tech: Breaking Bias</v>
      </c>
      <c r="N43" s="147" t="str">
        <f>IFERROR(__xludf.DUMMYFUNCTION("""COMPUTED_VALUE"""),"General")</f>
        <v>General</v>
      </c>
      <c r="O43" s="141" t="str">
        <f>IFERROR(__xludf.DUMMYFUNCTION("""COMPUTED_VALUE"""),"Beginner")</f>
        <v>Beginner</v>
      </c>
      <c r="P43" s="143">
        <f>IFERROR(__xludf.DUMMYFUNCTION("""COMPUTED_VALUE"""),0.015532407407407408)</f>
        <v>0.01553240741</v>
      </c>
      <c r="Q43" s="151"/>
      <c r="R43" s="140"/>
      <c r="S43" s="140"/>
    </row>
    <row r="44" ht="33.75" customHeight="1">
      <c r="A44" s="140"/>
      <c r="B44" s="140"/>
      <c r="C44" s="147">
        <f>IFERROR(__xludf.DUMMYFUNCTION("""COMPUTED_VALUE"""),2881243.0)</f>
        <v>2881243</v>
      </c>
      <c r="D44" s="150" t="str">
        <f>IFERROR(__xludf.DUMMYFUNCTION("""COMPUTED_VALUE"""),"CRISC Cert Prep: 1 IT Risk Identification")</f>
        <v>CRISC Cert Prep: 1 IT Risk Identification</v>
      </c>
      <c r="E44" s="147" t="str">
        <f>IFERROR(__xludf.DUMMYFUNCTION("""COMPUTED_VALUE"""),"Individual Contributor")</f>
        <v>Individual Contributor</v>
      </c>
      <c r="F44" s="141" t="str">
        <f>IFERROR(__xludf.DUMMYFUNCTION("""COMPUTED_VALUE"""),"Intermediate")</f>
        <v>Intermediate</v>
      </c>
      <c r="G44" s="143">
        <f>IFERROR(__xludf.DUMMYFUNCTION("""COMPUTED_VALUE"""),0.08011574074074074)</f>
        <v>0.08011574074</v>
      </c>
      <c r="H44" s="149" t="str">
        <f>IFERROR(__xludf.DUMMYFUNCTION("""COMPUTED_VALUE"""),"Succeed as a Remote Software Developer")</f>
        <v>Succeed as a Remote Software Developer</v>
      </c>
      <c r="I44" s="140"/>
      <c r="J44" s="140"/>
      <c r="K44" s="140"/>
      <c r="L44" s="147">
        <f>IFERROR(__xludf.DUMMYFUNCTION("""COMPUTED_VALUE"""),2825405.0)</f>
        <v>2825405</v>
      </c>
      <c r="M44" s="150" t="str">
        <f>IFERROR(__xludf.DUMMYFUNCTION("""COMPUTED_VALUE"""),"Guy Kawasaki on Turning Life Wisdom into Business Success")</f>
        <v>Guy Kawasaki on Turning Life Wisdom into Business Success</v>
      </c>
      <c r="N44" s="147" t="str">
        <f>IFERROR(__xludf.DUMMYFUNCTION("""COMPUTED_VALUE"""),"General")</f>
        <v>General</v>
      </c>
      <c r="O44" s="141" t="str">
        <f>IFERROR(__xludf.DUMMYFUNCTION("""COMPUTED_VALUE"""),"Beginner")</f>
        <v>Beginner</v>
      </c>
      <c r="P44" s="143">
        <f>IFERROR(__xludf.DUMMYFUNCTION("""COMPUTED_VALUE"""),0.046689814814814816)</f>
        <v>0.04668981481</v>
      </c>
      <c r="Q44" s="151"/>
      <c r="R44" s="140"/>
      <c r="S44" s="140"/>
    </row>
    <row r="45" ht="33.75" customHeight="1">
      <c r="A45" s="140"/>
      <c r="B45" s="140"/>
      <c r="C45" s="147">
        <f>IFERROR(__xludf.DUMMYFUNCTION("""COMPUTED_VALUE"""),2887235.0)</f>
        <v>2887235</v>
      </c>
      <c r="D45" s="150" t="str">
        <f>IFERROR(__xludf.DUMMYFUNCTION("""COMPUTED_VALUE"""),"Scrollytelling: Creating a One-Page Web Experience")</f>
        <v>Scrollytelling: Creating a One-Page Web Experience</v>
      </c>
      <c r="E45" s="147" t="str">
        <f>IFERROR(__xludf.DUMMYFUNCTION("""COMPUTED_VALUE"""),"Individual Contributor")</f>
        <v>Individual Contributor</v>
      </c>
      <c r="F45" s="141" t="str">
        <f>IFERROR(__xludf.DUMMYFUNCTION("""COMPUTED_VALUE"""),"Intermediate")</f>
        <v>Intermediate</v>
      </c>
      <c r="G45" s="143">
        <f>IFERROR(__xludf.DUMMYFUNCTION("""COMPUTED_VALUE"""),0.05430555555555556)</f>
        <v>0.05430555556</v>
      </c>
      <c r="H45" s="149" t="str">
        <f>IFERROR(__xludf.DUMMYFUNCTION("""COMPUTED_VALUE"""),"Working Smarter with Microsoft 365")</f>
        <v>Working Smarter with Microsoft 365</v>
      </c>
      <c r="I45" s="140"/>
      <c r="J45" s="140"/>
      <c r="K45" s="140"/>
      <c r="L45" s="147">
        <f>IFERROR(__xludf.DUMMYFUNCTION("""COMPUTED_VALUE"""),2848273.0)</f>
        <v>2848273</v>
      </c>
      <c r="M45" s="150" t="str">
        <f>IFERROR(__xludf.DUMMYFUNCTION("""COMPUTED_VALUE"""),"Advocating for Change in Your Organization")</f>
        <v>Advocating for Change in Your Organization</v>
      </c>
      <c r="N45" s="147" t="str">
        <f>IFERROR(__xludf.DUMMYFUNCTION("""COMPUTED_VALUE"""),"General")</f>
        <v>General</v>
      </c>
      <c r="O45" s="141" t="str">
        <f>IFERROR(__xludf.DUMMYFUNCTION("""COMPUTED_VALUE"""),"Beginner")</f>
        <v>Beginner</v>
      </c>
      <c r="P45" s="143">
        <f>IFERROR(__xludf.DUMMYFUNCTION("""COMPUTED_VALUE"""),0.017395833333333333)</f>
        <v>0.01739583333</v>
      </c>
      <c r="Q45" s="151"/>
      <c r="R45" s="140"/>
      <c r="S45" s="140"/>
    </row>
    <row r="46" ht="33.75" customHeight="1">
      <c r="A46" s="140"/>
      <c r="B46" s="140"/>
      <c r="C46" s="147">
        <f>IFERROR(__xludf.DUMMYFUNCTION("""COMPUTED_VALUE"""),2893067.0)</f>
        <v>2893067</v>
      </c>
      <c r="D46" s="150" t="str">
        <f>IFERROR(__xludf.DUMMYFUNCTION("""COMPUTED_VALUE"""),"Framing Cloud Discussions for the C-Suite")</f>
        <v>Framing Cloud Discussions for the C-Suite</v>
      </c>
      <c r="E46" s="147" t="str">
        <f>IFERROR(__xludf.DUMMYFUNCTION("""COMPUTED_VALUE"""),"Individual Contributor")</f>
        <v>Individual Contributor</v>
      </c>
      <c r="F46" s="141" t="str">
        <f>IFERROR(__xludf.DUMMYFUNCTION("""COMPUTED_VALUE"""),"Intermediate")</f>
        <v>Intermediate</v>
      </c>
      <c r="G46" s="143">
        <f>IFERROR(__xludf.DUMMYFUNCTION("""COMPUTED_VALUE"""),0.03570601851851852)</f>
        <v>0.03570601852</v>
      </c>
      <c r="H46" s="151"/>
      <c r="I46" s="140"/>
      <c r="J46" s="140"/>
      <c r="K46" s="140"/>
      <c r="L46" s="147">
        <f>IFERROR(__xludf.DUMMYFUNCTION("""COMPUTED_VALUE"""),2893008.0)</f>
        <v>2893008</v>
      </c>
      <c r="M46" s="150" t="str">
        <f>IFERROR(__xludf.DUMMYFUNCTION("""COMPUTED_VALUE"""),"Demystifying Company Culture")</f>
        <v>Demystifying Company Culture</v>
      </c>
      <c r="N46" s="147" t="str">
        <f>IFERROR(__xludf.DUMMYFUNCTION("""COMPUTED_VALUE"""),"General")</f>
        <v>General</v>
      </c>
      <c r="O46" s="141" t="str">
        <f>IFERROR(__xludf.DUMMYFUNCTION("""COMPUTED_VALUE"""),"Beginner")</f>
        <v>Beginner</v>
      </c>
      <c r="P46" s="143">
        <f>IFERROR(__xludf.DUMMYFUNCTION("""COMPUTED_VALUE"""),0.04299768518518519)</f>
        <v>0.04299768519</v>
      </c>
      <c r="Q46" s="151"/>
      <c r="R46" s="140"/>
      <c r="S46" s="140"/>
    </row>
    <row r="47" ht="33.75" customHeight="1">
      <c r="A47" s="140"/>
      <c r="B47" s="140"/>
      <c r="C47" s="147">
        <f>IFERROR(__xludf.DUMMYFUNCTION("""COMPUTED_VALUE"""),2881062.0)</f>
        <v>2881062</v>
      </c>
      <c r="D47" s="150" t="str">
        <f>IFERROR(__xludf.DUMMYFUNCTION("""COMPUTED_VALUE"""),"SAP Business One: Production and Logistics")</f>
        <v>SAP Business One: Production and Logistics</v>
      </c>
      <c r="E47" s="147" t="str">
        <f>IFERROR(__xludf.DUMMYFUNCTION("""COMPUTED_VALUE"""),"Individual Contributor")</f>
        <v>Individual Contributor</v>
      </c>
      <c r="F47" s="141" t="str">
        <f>IFERROR(__xludf.DUMMYFUNCTION("""COMPUTED_VALUE"""),"Intermediate")</f>
        <v>Intermediate</v>
      </c>
      <c r="G47" s="143">
        <f>IFERROR(__xludf.DUMMYFUNCTION("""COMPUTED_VALUE"""),0.12842592592592592)</f>
        <v>0.1284259259</v>
      </c>
      <c r="H47" s="151"/>
      <c r="I47" s="140"/>
      <c r="J47" s="140"/>
      <c r="K47" s="140"/>
      <c r="L47" s="147">
        <f>IFERROR(__xludf.DUMMYFUNCTION("""COMPUTED_VALUE"""),2877283.0)</f>
        <v>2877283</v>
      </c>
      <c r="M47" s="150" t="str">
        <f>IFERROR(__xludf.DUMMYFUNCTION("""COMPUTED_VALUE"""),"Creating a Great Place to Work for All")</f>
        <v>Creating a Great Place to Work for All</v>
      </c>
      <c r="N47" s="147" t="str">
        <f>IFERROR(__xludf.DUMMYFUNCTION("""COMPUTED_VALUE"""),"General")</f>
        <v>General</v>
      </c>
      <c r="O47" s="141" t="str">
        <f>IFERROR(__xludf.DUMMYFUNCTION("""COMPUTED_VALUE"""),"Beginner")</f>
        <v>Beginner</v>
      </c>
      <c r="P47" s="143">
        <f>IFERROR(__xludf.DUMMYFUNCTION("""COMPUTED_VALUE"""),0.013217592592592593)</f>
        <v>0.01321759259</v>
      </c>
      <c r="Q47" s="151"/>
      <c r="R47" s="140"/>
      <c r="S47" s="140"/>
    </row>
    <row r="48" ht="33.75" customHeight="1">
      <c r="A48" s="140"/>
      <c r="B48" s="140"/>
      <c r="C48" s="147">
        <f>IFERROR(__xludf.DUMMYFUNCTION("""COMPUTED_VALUE"""),2878108.0)</f>
        <v>2878108</v>
      </c>
      <c r="D48" s="150" t="str">
        <f>IFERROR(__xludf.DUMMYFUNCTION("""COMPUTED_VALUE"""),"Craft a Great GitHub Profile")</f>
        <v>Craft a Great GitHub Profile</v>
      </c>
      <c r="E48" s="147" t="str">
        <f>IFERROR(__xludf.DUMMYFUNCTION("""COMPUTED_VALUE"""),"Individual Contributor")</f>
        <v>Individual Contributor</v>
      </c>
      <c r="F48" s="141" t="str">
        <f>IFERROR(__xludf.DUMMYFUNCTION("""COMPUTED_VALUE"""),"Intermediate")</f>
        <v>Intermediate</v>
      </c>
      <c r="G48" s="143">
        <f>IFERROR(__xludf.DUMMYFUNCTION("""COMPUTED_VALUE"""),0.02880787037037037)</f>
        <v>0.02880787037</v>
      </c>
      <c r="H48" s="151"/>
      <c r="I48" s="140"/>
      <c r="J48" s="140"/>
      <c r="K48" s="140"/>
      <c r="L48" s="147">
        <f>IFERROR(__xludf.DUMMYFUNCTION("""COMPUTED_VALUE"""),2893113.0)</f>
        <v>2893113</v>
      </c>
      <c r="M48" s="150" t="str">
        <f>IFERROR(__xludf.DUMMYFUNCTION("""COMPUTED_VALUE"""),"Change Management Tips for Individuals")</f>
        <v>Change Management Tips for Individuals</v>
      </c>
      <c r="N48" s="147" t="str">
        <f>IFERROR(__xludf.DUMMYFUNCTION("""COMPUTED_VALUE"""),"General")</f>
        <v>General</v>
      </c>
      <c r="O48" s="141" t="str">
        <f>IFERROR(__xludf.DUMMYFUNCTION("""COMPUTED_VALUE"""),"Beginner")</f>
        <v>Beginner</v>
      </c>
      <c r="P48" s="143">
        <f>IFERROR(__xludf.DUMMYFUNCTION("""COMPUTED_VALUE"""),0.010532407407407407)</f>
        <v>0.01053240741</v>
      </c>
      <c r="Q48" s="151"/>
      <c r="R48" s="140"/>
      <c r="S48" s="140"/>
    </row>
    <row r="49" ht="33.75" customHeight="1">
      <c r="A49" s="140"/>
      <c r="B49" s="140"/>
      <c r="C49" s="147">
        <f>IFERROR(__xludf.DUMMYFUNCTION("""COMPUTED_VALUE"""),2883179.0)</f>
        <v>2883179</v>
      </c>
      <c r="D49" s="150" t="str">
        <f>IFERROR(__xludf.DUMMYFUNCTION("""COMPUTED_VALUE"""),"Planning Basics in SAP")</f>
        <v>Planning Basics in SAP</v>
      </c>
      <c r="E49" s="147" t="str">
        <f>IFERROR(__xludf.DUMMYFUNCTION("""COMPUTED_VALUE"""),"Individual Contributor")</f>
        <v>Individual Contributor</v>
      </c>
      <c r="F49" s="141" t="str">
        <f>IFERROR(__xludf.DUMMYFUNCTION("""COMPUTED_VALUE"""),"Intermediate")</f>
        <v>Intermediate</v>
      </c>
      <c r="G49" s="143">
        <f>IFERROR(__xludf.DUMMYFUNCTION("""COMPUTED_VALUE"""),0.053877314814814815)</f>
        <v>0.05387731481</v>
      </c>
      <c r="H49" s="151"/>
      <c r="I49" s="140"/>
      <c r="J49" s="140"/>
      <c r="K49" s="140"/>
      <c r="L49" s="147">
        <f>IFERROR(__xludf.DUMMYFUNCTION("""COMPUTED_VALUE"""),2422661.0)</f>
        <v>2422661</v>
      </c>
      <c r="M49" s="150" t="str">
        <f>IFERROR(__xludf.DUMMYFUNCTION("""COMPUTED_VALUE"""),"How to Lead and Inspire Change")</f>
        <v>How to Lead and Inspire Change</v>
      </c>
      <c r="N49" s="147" t="str">
        <f>IFERROR(__xludf.DUMMYFUNCTION("""COMPUTED_VALUE"""),"General")</f>
        <v>General</v>
      </c>
      <c r="O49" s="141" t="str">
        <f>IFERROR(__xludf.DUMMYFUNCTION("""COMPUTED_VALUE"""),"Beginner")</f>
        <v>Beginner</v>
      </c>
      <c r="P49" s="143">
        <f>IFERROR(__xludf.DUMMYFUNCTION("""COMPUTED_VALUE"""),0.037175925925925925)</f>
        <v>0.03717592593</v>
      </c>
      <c r="Q49" s="151"/>
      <c r="R49" s="140"/>
      <c r="S49" s="140"/>
    </row>
    <row r="50" ht="33.75" customHeight="1">
      <c r="A50" s="140"/>
      <c r="B50" s="140"/>
      <c r="C50" s="147">
        <f>IFERROR(__xludf.DUMMYFUNCTION("""COMPUTED_VALUE"""),2452211.0)</f>
        <v>2452211</v>
      </c>
      <c r="D50" s="150" t="str">
        <f>IFERROR(__xludf.DUMMYFUNCTION("""COMPUTED_VALUE"""),"Understanding Augmented and Virtual Reality: An Introduction")</f>
        <v>Understanding Augmented and Virtual Reality: An Introduction</v>
      </c>
      <c r="E50" s="147" t="str">
        <f>IFERROR(__xludf.DUMMYFUNCTION("""COMPUTED_VALUE"""),"General")</f>
        <v>General</v>
      </c>
      <c r="F50" s="141" t="str">
        <f>IFERROR(__xludf.DUMMYFUNCTION("""COMPUTED_VALUE"""),"Beginner")</f>
        <v>Beginner</v>
      </c>
      <c r="G50" s="143">
        <f>IFERROR(__xludf.DUMMYFUNCTION("""COMPUTED_VALUE"""),0.03634259259259259)</f>
        <v>0.03634259259</v>
      </c>
      <c r="H50" s="151"/>
      <c r="I50" s="140"/>
      <c r="J50" s="140"/>
      <c r="K50" s="140"/>
      <c r="L50" s="147">
        <f>IFERROR(__xludf.DUMMYFUNCTION("""COMPUTED_VALUE"""),3013036.0)</f>
        <v>3013036</v>
      </c>
      <c r="M50" s="150" t="str">
        <f>IFERROR(__xludf.DUMMYFUNCTION("""COMPUTED_VALUE"""),"Creating Safe Spaces for Tough Conversations at Work")</f>
        <v>Creating Safe Spaces for Tough Conversations at Work</v>
      </c>
      <c r="N50" s="147" t="str">
        <f>IFERROR(__xludf.DUMMYFUNCTION("""COMPUTED_VALUE"""),"General")</f>
        <v>General</v>
      </c>
      <c r="O50" s="141" t="str">
        <f>IFERROR(__xludf.DUMMYFUNCTION("""COMPUTED_VALUE"""),"Beginner")</f>
        <v>Beginner</v>
      </c>
      <c r="P50" s="143">
        <f>IFERROR(__xludf.DUMMYFUNCTION("""COMPUTED_VALUE"""),0.03803240740740741)</f>
        <v>0.03803240741</v>
      </c>
      <c r="Q50" s="151"/>
      <c r="R50" s="140"/>
      <c r="S50" s="140"/>
    </row>
    <row r="51" ht="33.75" customHeight="1">
      <c r="A51" s="140"/>
      <c r="B51" s="140"/>
      <c r="C51" s="147">
        <f>IFERROR(__xludf.DUMMYFUNCTION("""COMPUTED_VALUE"""),2807864.0)</f>
        <v>2807864</v>
      </c>
      <c r="D51" s="150" t="str">
        <f>IFERROR(__xludf.DUMMYFUNCTION("""COMPUTED_VALUE"""),"Learning System Center Configuration Manager")</f>
        <v>Learning System Center Configuration Manager</v>
      </c>
      <c r="E51" s="147" t="str">
        <f>IFERROR(__xludf.DUMMYFUNCTION("""COMPUTED_VALUE"""),"General")</f>
        <v>General</v>
      </c>
      <c r="F51" s="141" t="str">
        <f>IFERROR(__xludf.DUMMYFUNCTION("""COMPUTED_VALUE"""),"Beginner")</f>
        <v>Beginner</v>
      </c>
      <c r="G51" s="143">
        <f>IFERROR(__xludf.DUMMYFUNCTION("""COMPUTED_VALUE"""),0.11969907407407407)</f>
        <v>0.1196990741</v>
      </c>
      <c r="H51" s="151"/>
      <c r="I51" s="140"/>
      <c r="J51" s="140"/>
      <c r="K51" s="140"/>
      <c r="L51" s="147">
        <f>IFERROR(__xludf.DUMMYFUNCTION("""COMPUTED_VALUE"""),3008555.0)</f>
        <v>3008555</v>
      </c>
      <c r="M51" s="150" t="str">
        <f>IFERROR(__xludf.DUMMYFUNCTION("""COMPUTED_VALUE"""),"Strategies to Foster Inclusive Language at Work")</f>
        <v>Strategies to Foster Inclusive Language at Work</v>
      </c>
      <c r="N51" s="147" t="str">
        <f>IFERROR(__xludf.DUMMYFUNCTION("""COMPUTED_VALUE"""),"General")</f>
        <v>General</v>
      </c>
      <c r="O51" s="141" t="str">
        <f>IFERROR(__xludf.DUMMYFUNCTION("""COMPUTED_VALUE"""),"Beginner")</f>
        <v>Beginner</v>
      </c>
      <c r="P51" s="143">
        <f>IFERROR(__xludf.DUMMYFUNCTION("""COMPUTED_VALUE"""),0.04612268518518518)</f>
        <v>0.04612268519</v>
      </c>
      <c r="Q51" s="151"/>
      <c r="R51" s="140"/>
      <c r="S51" s="140"/>
    </row>
    <row r="52" ht="33.75" customHeight="1">
      <c r="A52" s="140"/>
      <c r="B52" s="140"/>
      <c r="C52" s="147">
        <f>IFERROR(__xludf.DUMMYFUNCTION("""COMPUTED_VALUE"""),772323.0)</f>
        <v>772323</v>
      </c>
      <c r="D52" s="150" t="str">
        <f>IFERROR(__xludf.DUMMYFUNCTION("""COMPUTED_VALUE"""),"Learning Java Applications")</f>
        <v>Learning Java Applications</v>
      </c>
      <c r="E52" s="147" t="str">
        <f>IFERROR(__xludf.DUMMYFUNCTION("""COMPUTED_VALUE"""),"General")</f>
        <v>General</v>
      </c>
      <c r="F52" s="141" t="str">
        <f>IFERROR(__xludf.DUMMYFUNCTION("""COMPUTED_VALUE"""),"Beginner")</f>
        <v>Beginner</v>
      </c>
      <c r="G52" s="143">
        <f>IFERROR(__xludf.DUMMYFUNCTION("""COMPUTED_VALUE"""),0.09130787037037037)</f>
        <v>0.09130787037</v>
      </c>
      <c r="H52" s="151"/>
      <c r="I52" s="140"/>
      <c r="J52" s="140"/>
      <c r="K52" s="140"/>
      <c r="L52" s="147">
        <f>IFERROR(__xludf.DUMMYFUNCTION("""COMPUTED_VALUE"""),2815033.0)</f>
        <v>2815033</v>
      </c>
      <c r="M52" s="150" t="str">
        <f>IFERROR(__xludf.DUMMYFUNCTION("""COMPUTED_VALUE"""),"Mixtape: Highlights from LinkedIn Learning Courses")</f>
        <v>Mixtape: Highlights from LinkedIn Learning Courses</v>
      </c>
      <c r="N52" s="147" t="str">
        <f>IFERROR(__xludf.DUMMYFUNCTION("""COMPUTED_VALUE"""),"General")</f>
        <v>General</v>
      </c>
      <c r="O52" s="141" t="str">
        <f>IFERROR(__xludf.DUMMYFUNCTION("""COMPUTED_VALUE"""),"Beginner + Intermediate")</f>
        <v>Beginner + Intermediate</v>
      </c>
      <c r="P52" s="143">
        <f>IFERROR(__xludf.DUMMYFUNCTION("""COMPUTED_VALUE"""),0.05185185185185185)</f>
        <v>0.05185185185</v>
      </c>
      <c r="Q52" s="151"/>
      <c r="R52" s="140"/>
      <c r="S52" s="140"/>
    </row>
    <row r="53" ht="33.75" customHeight="1">
      <c r="A53" s="140"/>
      <c r="B53" s="140"/>
      <c r="C53" s="147">
        <f>IFERROR(__xludf.DUMMYFUNCTION("""COMPUTED_VALUE"""),728391.0)</f>
        <v>728391</v>
      </c>
      <c r="D53" s="150" t="str">
        <f>IFERROR(__xludf.DUMMYFUNCTION("""COMPUTED_VALUE"""),"Test Automation Foundations")</f>
        <v>Test Automation Foundations</v>
      </c>
      <c r="E53" s="147" t="str">
        <f>IFERROR(__xludf.DUMMYFUNCTION("""COMPUTED_VALUE"""),"General")</f>
        <v>General</v>
      </c>
      <c r="F53" s="141" t="str">
        <f>IFERROR(__xludf.DUMMYFUNCTION("""COMPUTED_VALUE"""),"Beginner")</f>
        <v>Beginner</v>
      </c>
      <c r="G53" s="143">
        <f>IFERROR(__xludf.DUMMYFUNCTION("""COMPUTED_VALUE"""),0.04850694444444444)</f>
        <v>0.04850694444</v>
      </c>
      <c r="H53" s="151"/>
      <c r="I53" s="140"/>
      <c r="J53" s="140"/>
      <c r="K53" s="140"/>
      <c r="L53" s="147">
        <f>IFERROR(__xludf.DUMMYFUNCTION("""COMPUTED_VALUE"""),2808538.0)</f>
        <v>2808538</v>
      </c>
      <c r="M53" s="150" t="str">
        <f>IFERROR(__xludf.DUMMYFUNCTION("""COMPUTED_VALUE"""),"Being Your Own Fierce Self-Advocate")</f>
        <v>Being Your Own Fierce Self-Advocate</v>
      </c>
      <c r="N53" s="147" t="str">
        <f>IFERROR(__xludf.DUMMYFUNCTION("""COMPUTED_VALUE"""),"General")</f>
        <v>General</v>
      </c>
      <c r="O53" s="141" t="str">
        <f>IFERROR(__xludf.DUMMYFUNCTION("""COMPUTED_VALUE"""),"Beginner + Intermediate")</f>
        <v>Beginner + Intermediate</v>
      </c>
      <c r="P53" s="143">
        <f>IFERROR(__xludf.DUMMYFUNCTION("""COMPUTED_VALUE"""),0.0424537037037037)</f>
        <v>0.0424537037</v>
      </c>
      <c r="Q53" s="151"/>
      <c r="R53" s="140"/>
      <c r="S53" s="140"/>
    </row>
    <row r="54" ht="33.75" customHeight="1">
      <c r="A54" s="140"/>
      <c r="B54" s="140"/>
      <c r="C54" s="147">
        <f>IFERROR(__xludf.DUMMYFUNCTION("""COMPUTED_VALUE"""),746311.0)</f>
        <v>746311</v>
      </c>
      <c r="D54" s="150" t="str">
        <f>IFERROR(__xludf.DUMMYFUNCTION("""COMPUTED_VALUE"""),"Introducing Robotic Process Automation")</f>
        <v>Introducing Robotic Process Automation</v>
      </c>
      <c r="E54" s="147" t="str">
        <f>IFERROR(__xludf.DUMMYFUNCTION("""COMPUTED_VALUE"""),"General")</f>
        <v>General</v>
      </c>
      <c r="F54" s="141" t="str">
        <f>IFERROR(__xludf.DUMMYFUNCTION("""COMPUTED_VALUE"""),"Beginner")</f>
        <v>Beginner</v>
      </c>
      <c r="G54" s="143">
        <f>IFERROR(__xludf.DUMMYFUNCTION("""COMPUTED_VALUE"""),0.0637037037037037)</f>
        <v>0.0637037037</v>
      </c>
      <c r="H54" s="151"/>
      <c r="I54" s="140"/>
      <c r="J54" s="140"/>
      <c r="K54" s="140"/>
      <c r="L54" s="147">
        <f>IFERROR(__xludf.DUMMYFUNCTION("""COMPUTED_VALUE"""),659269.0)</f>
        <v>659269</v>
      </c>
      <c r="M54" s="150" t="str">
        <f>IFERROR(__xludf.DUMMYFUNCTION("""COMPUTED_VALUE"""),"Managing Stress for Positive Change")</f>
        <v>Managing Stress for Positive Change</v>
      </c>
      <c r="N54" s="147" t="str">
        <f>IFERROR(__xludf.DUMMYFUNCTION("""COMPUTED_VALUE"""),"General")</f>
        <v>General</v>
      </c>
      <c r="O54" s="141" t="str">
        <f>IFERROR(__xludf.DUMMYFUNCTION("""COMPUTED_VALUE"""),"Beginner + Intermediate")</f>
        <v>Beginner + Intermediate</v>
      </c>
      <c r="P54" s="143">
        <f>IFERROR(__xludf.DUMMYFUNCTION("""COMPUTED_VALUE"""),0.04026620370370371)</f>
        <v>0.0402662037</v>
      </c>
      <c r="Q54" s="151"/>
      <c r="R54" s="140"/>
      <c r="S54" s="140"/>
    </row>
    <row r="55" ht="33.75" customHeight="1">
      <c r="A55" s="140"/>
      <c r="B55" s="140"/>
      <c r="C55" s="147">
        <f>IFERROR(__xludf.DUMMYFUNCTION("""COMPUTED_VALUE"""),5025102.0)</f>
        <v>5025102</v>
      </c>
      <c r="D55" s="150" t="str">
        <f>IFERROR(__xludf.DUMMYFUNCTION("""COMPUTED_VALUE"""),"AWS Administration: Tips and Tricks")</f>
        <v>AWS Administration: Tips and Tricks</v>
      </c>
      <c r="E55" s="147" t="str">
        <f>IFERROR(__xludf.DUMMYFUNCTION("""COMPUTED_VALUE"""),"General")</f>
        <v>General</v>
      </c>
      <c r="F55" s="141" t="str">
        <f>IFERROR(__xludf.DUMMYFUNCTION("""COMPUTED_VALUE"""),"Beginner")</f>
        <v>Beginner</v>
      </c>
      <c r="G55" s="143">
        <f>IFERROR(__xludf.DUMMYFUNCTION("""COMPUTED_VALUE"""),0.0787037037037037)</f>
        <v>0.0787037037</v>
      </c>
      <c r="H55" s="151"/>
      <c r="I55" s="140"/>
      <c r="J55" s="140"/>
      <c r="K55" s="140"/>
      <c r="L55" s="147">
        <f>IFERROR(__xludf.DUMMYFUNCTION("""COMPUTED_VALUE"""),699331.0)</f>
        <v>699331</v>
      </c>
      <c r="M55" s="150" t="str">
        <f>IFERROR(__xludf.DUMMYFUNCTION("""COMPUTED_VALUE"""),"Adaptive Project Leadership")</f>
        <v>Adaptive Project Leadership</v>
      </c>
      <c r="N55" s="147" t="str">
        <f>IFERROR(__xludf.DUMMYFUNCTION("""COMPUTED_VALUE"""),"General")</f>
        <v>General</v>
      </c>
      <c r="O55" s="141" t="str">
        <f>IFERROR(__xludf.DUMMYFUNCTION("""COMPUTED_VALUE"""),"Intermediate")</f>
        <v>Intermediate</v>
      </c>
      <c r="P55" s="143">
        <f>IFERROR(__xludf.DUMMYFUNCTION("""COMPUTED_VALUE"""),0.03329861111111111)</f>
        <v>0.03329861111</v>
      </c>
      <c r="Q55" s="151"/>
      <c r="R55" s="140"/>
      <c r="S55" s="140"/>
    </row>
    <row r="56" ht="33.75" customHeight="1">
      <c r="A56" s="140"/>
      <c r="B56" s="140"/>
      <c r="C56" s="147">
        <f>IFERROR(__xludf.DUMMYFUNCTION("""COMPUTED_VALUE"""),806167.0)</f>
        <v>806167</v>
      </c>
      <c r="D56" s="150" t="str">
        <f>IFERROR(__xludf.DUMMYFUNCTION("""COMPUTED_VALUE"""),"Applied Machine Learning: Algorithms")</f>
        <v>Applied Machine Learning: Algorithms</v>
      </c>
      <c r="E56" s="147" t="str">
        <f>IFERROR(__xludf.DUMMYFUNCTION("""COMPUTED_VALUE"""),"General")</f>
        <v>General</v>
      </c>
      <c r="F56" s="141" t="str">
        <f>IFERROR(__xludf.DUMMYFUNCTION("""COMPUTED_VALUE"""),"Beginner")</f>
        <v>Beginner</v>
      </c>
      <c r="G56" s="143">
        <f>IFERROR(__xludf.DUMMYFUNCTION("""COMPUTED_VALUE"""),0.10002314814814815)</f>
        <v>0.1000231481</v>
      </c>
      <c r="H56" s="151"/>
      <c r="I56" s="140"/>
      <c r="J56" s="140"/>
      <c r="K56" s="140"/>
      <c r="L56" s="147">
        <f>IFERROR(__xludf.DUMMYFUNCTION("""COMPUTED_VALUE"""),718627.0)</f>
        <v>718627</v>
      </c>
      <c r="M56" s="150" t="str">
        <f>IFERROR(__xludf.DUMMYFUNCTION("""COMPUTED_VALUE"""),"Enhancing Team Innovation")</f>
        <v>Enhancing Team Innovation</v>
      </c>
      <c r="N56" s="147" t="str">
        <f>IFERROR(__xludf.DUMMYFUNCTION("""COMPUTED_VALUE"""),"General")</f>
        <v>General</v>
      </c>
      <c r="O56" s="141" t="str">
        <f>IFERROR(__xludf.DUMMYFUNCTION("""COMPUTED_VALUE"""),"Intermediate")</f>
        <v>Intermediate</v>
      </c>
      <c r="P56" s="143">
        <f>IFERROR(__xludf.DUMMYFUNCTION("""COMPUTED_VALUE"""),0.051597222222222225)</f>
        <v>0.05159722222</v>
      </c>
      <c r="Q56" s="151"/>
      <c r="R56" s="140"/>
      <c r="S56" s="140"/>
    </row>
    <row r="57" ht="33.75" customHeight="1">
      <c r="A57" s="140"/>
      <c r="B57" s="140"/>
      <c r="C57" s="147">
        <f>IFERROR(__xludf.DUMMYFUNCTION("""COMPUTED_VALUE"""),791354.0)</f>
        <v>791354</v>
      </c>
      <c r="D57" s="150" t="str">
        <f>IFERROR(__xludf.DUMMYFUNCTION("""COMPUTED_VALUE"""),"Machine Learning in Mobile Applications")</f>
        <v>Machine Learning in Mobile Applications</v>
      </c>
      <c r="E57" s="147" t="str">
        <f>IFERROR(__xludf.DUMMYFUNCTION("""COMPUTED_VALUE"""),"General")</f>
        <v>General</v>
      </c>
      <c r="F57" s="141" t="str">
        <f>IFERROR(__xludf.DUMMYFUNCTION("""COMPUTED_VALUE"""),"Beginner")</f>
        <v>Beginner</v>
      </c>
      <c r="G57" s="143">
        <f>IFERROR(__xludf.DUMMYFUNCTION("""COMPUTED_VALUE"""),0.13571759259259258)</f>
        <v>0.1357175926</v>
      </c>
      <c r="H57" s="151"/>
      <c r="I57" s="140"/>
      <c r="J57" s="140"/>
      <c r="K57" s="140"/>
      <c r="L57" s="147">
        <f>IFERROR(__xludf.DUMMYFUNCTION("""COMPUTED_VALUE"""),2814066.0)</f>
        <v>2814066</v>
      </c>
      <c r="M57" s="150" t="str">
        <f>IFERROR(__xludf.DUMMYFUNCTION("""COMPUTED_VALUE"""),"Leading with Kindness and Strength")</f>
        <v>Leading with Kindness and Strength</v>
      </c>
      <c r="N57" s="147" t="str">
        <f>IFERROR(__xludf.DUMMYFUNCTION("""COMPUTED_VALUE"""),"General")</f>
        <v>General</v>
      </c>
      <c r="O57" s="141" t="str">
        <f>IFERROR(__xludf.DUMMYFUNCTION("""COMPUTED_VALUE"""),"Intermediate")</f>
        <v>Intermediate</v>
      </c>
      <c r="P57" s="143">
        <f>IFERROR(__xludf.DUMMYFUNCTION("""COMPUTED_VALUE"""),0.02802083333333333)</f>
        <v>0.02802083333</v>
      </c>
      <c r="Q57" s="151"/>
      <c r="R57" s="140"/>
      <c r="S57" s="140"/>
    </row>
    <row r="58" ht="33.75" customHeight="1">
      <c r="A58" s="140"/>
      <c r="B58" s="140"/>
      <c r="C58" s="147">
        <f>IFERROR(__xludf.DUMMYFUNCTION("""COMPUTED_VALUE"""),743171.0)</f>
        <v>743171</v>
      </c>
      <c r="D58" s="150" t="str">
        <f>IFERROR(__xludf.DUMMYFUNCTION("""COMPUTED_VALUE"""),"Machine Learning and AI Foundations: Predictive Modeling Strategy at Scale")</f>
        <v>Machine Learning and AI Foundations: Predictive Modeling Strategy at Scale</v>
      </c>
      <c r="E58" s="147" t="str">
        <f>IFERROR(__xludf.DUMMYFUNCTION("""COMPUTED_VALUE"""),"General")</f>
        <v>General</v>
      </c>
      <c r="F58" s="141" t="str">
        <f>IFERROR(__xludf.DUMMYFUNCTION("""COMPUTED_VALUE"""),"Beginner")</f>
        <v>Beginner</v>
      </c>
      <c r="G58" s="143">
        <f>IFERROR(__xludf.DUMMYFUNCTION("""COMPUTED_VALUE"""),0.05655092592592593)</f>
        <v>0.05655092593</v>
      </c>
      <c r="H58" s="151"/>
      <c r="I58" s="140"/>
      <c r="J58" s="140"/>
      <c r="K58" s="140"/>
      <c r="L58" s="147">
        <f>IFERROR(__xludf.DUMMYFUNCTION("""COMPUTED_VALUE"""),2823041.0)</f>
        <v>2823041</v>
      </c>
      <c r="M58" s="150" t="str">
        <f>IFERROR(__xludf.DUMMYFUNCTION("""COMPUTED_VALUE"""),"Communicating Change in an Enterprise-Wide Transformation")</f>
        <v>Communicating Change in an Enterprise-Wide Transformation</v>
      </c>
      <c r="N58" s="147" t="str">
        <f>IFERROR(__xludf.DUMMYFUNCTION("""COMPUTED_VALUE"""),"General")</f>
        <v>General</v>
      </c>
      <c r="O58" s="141" t="str">
        <f>IFERROR(__xludf.DUMMYFUNCTION("""COMPUTED_VALUE"""),"Intermediate")</f>
        <v>Intermediate</v>
      </c>
      <c r="P58" s="143">
        <f>IFERROR(__xludf.DUMMYFUNCTION("""COMPUTED_VALUE"""),0.02775462962962963)</f>
        <v>0.02775462963</v>
      </c>
      <c r="Q58" s="151"/>
      <c r="R58" s="140"/>
      <c r="S58" s="140"/>
    </row>
    <row r="59" ht="33.75" customHeight="1">
      <c r="A59" s="140"/>
      <c r="B59" s="140"/>
      <c r="C59" s="147">
        <f>IFERROR(__xludf.DUMMYFUNCTION("""COMPUTED_VALUE"""),2804664.0)</f>
        <v>2804664</v>
      </c>
      <c r="D59" s="150" t="str">
        <f>IFERROR(__xludf.DUMMYFUNCTION("""COMPUTED_VALUE"""),"Introducing AI to Your Organization")</f>
        <v>Introducing AI to Your Organization</v>
      </c>
      <c r="E59" s="147" t="str">
        <f>IFERROR(__xludf.DUMMYFUNCTION("""COMPUTED_VALUE"""),"General")</f>
        <v>General</v>
      </c>
      <c r="F59" s="141" t="str">
        <f>IFERROR(__xludf.DUMMYFUNCTION("""COMPUTED_VALUE"""),"Beginner")</f>
        <v>Beginner</v>
      </c>
      <c r="G59" s="143">
        <f>IFERROR(__xludf.DUMMYFUNCTION("""COMPUTED_VALUE"""),0.03709490740740741)</f>
        <v>0.03709490741</v>
      </c>
      <c r="H59" s="151"/>
      <c r="I59" s="140"/>
      <c r="J59" s="140"/>
      <c r="K59" s="140"/>
      <c r="L59" s="147">
        <f>IFERROR(__xludf.DUMMYFUNCTION("""COMPUTED_VALUE"""),2836015.0)</f>
        <v>2836015</v>
      </c>
      <c r="M59" s="150" t="str">
        <f>IFERROR(__xludf.DUMMYFUNCTION("""COMPUTED_VALUE"""),"How to Innovate and Stay Relevant in Times of Change and Uncertainty")</f>
        <v>How to Innovate and Stay Relevant in Times of Change and Uncertainty</v>
      </c>
      <c r="N59" s="147" t="str">
        <f>IFERROR(__xludf.DUMMYFUNCTION("""COMPUTED_VALUE"""),"General")</f>
        <v>General</v>
      </c>
      <c r="O59" s="141" t="str">
        <f>IFERROR(__xludf.DUMMYFUNCTION("""COMPUTED_VALUE"""),"Intermediate")</f>
        <v>Intermediate</v>
      </c>
      <c r="P59" s="143">
        <f>IFERROR(__xludf.DUMMYFUNCTION("""COMPUTED_VALUE"""),0.021342592592592594)</f>
        <v>0.02134259259</v>
      </c>
      <c r="Q59" s="151"/>
      <c r="R59" s="140"/>
      <c r="S59" s="140"/>
    </row>
    <row r="60" ht="33.75" customHeight="1">
      <c r="A60" s="140"/>
      <c r="B60" s="140"/>
      <c r="C60" s="147">
        <f>IFERROR(__xludf.DUMMYFUNCTION("""COMPUTED_VALUE"""),2805571.0)</f>
        <v>2805571</v>
      </c>
      <c r="D60" s="150" t="str">
        <f>IFERROR(__xludf.DUMMYFUNCTION("""COMPUTED_VALUE"""),"Succeeding in Web Development: Full Stack and Front End")</f>
        <v>Succeeding in Web Development: Full Stack and Front End</v>
      </c>
      <c r="E60" s="147" t="str">
        <f>IFERROR(__xludf.DUMMYFUNCTION("""COMPUTED_VALUE"""),"General")</f>
        <v>General</v>
      </c>
      <c r="F60" s="141" t="str">
        <f>IFERROR(__xludf.DUMMYFUNCTION("""COMPUTED_VALUE"""),"Beginner")</f>
        <v>Beginner</v>
      </c>
      <c r="G60" s="143">
        <f>IFERROR(__xludf.DUMMYFUNCTION("""COMPUTED_VALUE"""),0.04421296296296296)</f>
        <v>0.04421296296</v>
      </c>
      <c r="H60" s="151"/>
      <c r="I60" s="140"/>
      <c r="J60" s="140"/>
      <c r="K60" s="140"/>
      <c r="L60" s="147">
        <f>IFERROR(__xludf.DUMMYFUNCTION("""COMPUTED_VALUE"""),2838146.0)</f>
        <v>2838146</v>
      </c>
      <c r="M60" s="150" t="str">
        <f>IFERROR(__xludf.DUMMYFUNCTION("""COMPUTED_VALUE"""),"Leading in Uncertain Times")</f>
        <v>Leading in Uncertain Times</v>
      </c>
      <c r="N60" s="147" t="str">
        <f>IFERROR(__xludf.DUMMYFUNCTION("""COMPUTED_VALUE"""),"General")</f>
        <v>General</v>
      </c>
      <c r="O60" s="141" t="str">
        <f>IFERROR(__xludf.DUMMYFUNCTION("""COMPUTED_VALUE"""),"Intermediate")</f>
        <v>Intermediate</v>
      </c>
      <c r="P60" s="143">
        <f>IFERROR(__xludf.DUMMYFUNCTION("""COMPUTED_VALUE"""),0.03200231481481482)</f>
        <v>0.03200231481</v>
      </c>
      <c r="Q60" s="151"/>
      <c r="R60" s="140"/>
      <c r="S60" s="140"/>
    </row>
    <row r="61" ht="33.75" customHeight="1">
      <c r="A61" s="140"/>
      <c r="B61" s="140"/>
      <c r="C61" s="147">
        <f>IFERROR(__xludf.DUMMYFUNCTION("""COMPUTED_VALUE"""),5030981.0)</f>
        <v>5030981</v>
      </c>
      <c r="D61" s="150" t="str">
        <f>IFERROR(__xludf.DUMMYFUNCTION("""COMPUTED_VALUE"""),"Software Development Life Cycle (SDLC)")</f>
        <v>Software Development Life Cycle (SDLC)</v>
      </c>
      <c r="E61" s="147" t="str">
        <f>IFERROR(__xludf.DUMMYFUNCTION("""COMPUTED_VALUE"""),"General")</f>
        <v>General</v>
      </c>
      <c r="F61" s="141" t="str">
        <f>IFERROR(__xludf.DUMMYFUNCTION("""COMPUTED_VALUE"""),"Beginner")</f>
        <v>Beginner</v>
      </c>
      <c r="G61" s="143">
        <f>IFERROR(__xludf.DUMMYFUNCTION("""COMPUTED_VALUE"""),0.06582175925925926)</f>
        <v>0.06582175926</v>
      </c>
      <c r="H61" s="151"/>
      <c r="I61" s="140"/>
      <c r="J61" s="140"/>
      <c r="K61" s="140"/>
      <c r="L61" s="147">
        <f>IFERROR(__xludf.DUMMYFUNCTION("""COMPUTED_VALUE"""),2463092.0)</f>
        <v>2463092</v>
      </c>
      <c r="M61" s="150" t="str">
        <f>IFERROR(__xludf.DUMMYFUNCTION("""COMPUTED_VALUE"""),"Closing the Green Skills Gap to Power a Greener Economy")</f>
        <v>Closing the Green Skills Gap to Power a Greener Economy</v>
      </c>
      <c r="N61" s="147" t="str">
        <f>IFERROR(__xludf.DUMMYFUNCTION("""COMPUTED_VALUE"""),"General")</f>
        <v>General</v>
      </c>
      <c r="O61" s="141" t="str">
        <f>IFERROR(__xludf.DUMMYFUNCTION("""COMPUTED_VALUE"""),"General")</f>
        <v>General</v>
      </c>
      <c r="P61" s="143">
        <f>IFERROR(__xludf.DUMMYFUNCTION("""COMPUTED_VALUE"""),0.016655092592592593)</f>
        <v>0.01665509259</v>
      </c>
      <c r="Q61" s="151"/>
      <c r="R61" s="140"/>
      <c r="S61" s="140"/>
    </row>
    <row r="62" ht="33.75" customHeight="1">
      <c r="A62" s="140"/>
      <c r="B62" s="140"/>
      <c r="C62" s="147">
        <f>IFERROR(__xludf.DUMMYFUNCTION("""COMPUTED_VALUE"""),2822655.0)</f>
        <v>2822655</v>
      </c>
      <c r="D62" s="150" t="str">
        <f>IFERROR(__xludf.DUMMYFUNCTION("""COMPUTED_VALUE"""),"Working and Collaborating Online")</f>
        <v>Working and Collaborating Online</v>
      </c>
      <c r="E62" s="147" t="str">
        <f>IFERROR(__xludf.DUMMYFUNCTION("""COMPUTED_VALUE"""),"General")</f>
        <v>General</v>
      </c>
      <c r="F62" s="141" t="str">
        <f>IFERROR(__xludf.DUMMYFUNCTION("""COMPUTED_VALUE"""),"Beginner")</f>
        <v>Beginner</v>
      </c>
      <c r="G62" s="143">
        <f>IFERROR(__xludf.DUMMYFUNCTION("""COMPUTED_VALUE"""),0.05386574074074074)</f>
        <v>0.05386574074</v>
      </c>
      <c r="H62" s="151"/>
      <c r="I62" s="140"/>
      <c r="J62" s="140"/>
      <c r="K62" s="140"/>
      <c r="L62" s="147">
        <f>IFERROR(__xludf.DUMMYFUNCTION("""COMPUTED_VALUE"""),2825691.0)</f>
        <v>2825691</v>
      </c>
      <c r="M62" s="150" t="str">
        <f>IFERROR(__xludf.DUMMYFUNCTION("""COMPUTED_VALUE"""),"The Employee's Guide to Sustainability")</f>
        <v>The Employee's Guide to Sustainability</v>
      </c>
      <c r="N62" s="147" t="str">
        <f>IFERROR(__xludf.DUMMYFUNCTION("""COMPUTED_VALUE"""),"General")</f>
        <v>General</v>
      </c>
      <c r="O62" s="141" t="str">
        <f>IFERROR(__xludf.DUMMYFUNCTION("""COMPUTED_VALUE"""),"General")</f>
        <v>General</v>
      </c>
      <c r="P62" s="143">
        <f>IFERROR(__xludf.DUMMYFUNCTION("""COMPUTED_VALUE"""),0.0352662037037037)</f>
        <v>0.0352662037</v>
      </c>
      <c r="Q62" s="151"/>
      <c r="R62" s="140"/>
      <c r="S62" s="140"/>
    </row>
    <row r="63" ht="33.75" customHeight="1">
      <c r="A63" s="140"/>
      <c r="B63" s="140"/>
      <c r="C63" s="147">
        <f>IFERROR(__xludf.DUMMYFUNCTION("""COMPUTED_VALUE"""),2822654.0)</f>
        <v>2822654</v>
      </c>
      <c r="D63" s="150" t="str">
        <f>IFERROR(__xludf.DUMMYFUNCTION("""COMPUTED_VALUE"""),"Working with Computers and Devices")</f>
        <v>Working with Computers and Devices</v>
      </c>
      <c r="E63" s="147" t="str">
        <f>IFERROR(__xludf.DUMMYFUNCTION("""COMPUTED_VALUE"""),"General")</f>
        <v>General</v>
      </c>
      <c r="F63" s="141" t="str">
        <f>IFERROR(__xludf.DUMMYFUNCTION("""COMPUTED_VALUE"""),"Beginner")</f>
        <v>Beginner</v>
      </c>
      <c r="G63" s="143">
        <f>IFERROR(__xludf.DUMMYFUNCTION("""COMPUTED_VALUE"""),0.07166666666666667)</f>
        <v>0.07166666667</v>
      </c>
      <c r="H63" s="151"/>
      <c r="I63" s="140"/>
      <c r="J63" s="140"/>
      <c r="K63" s="140"/>
      <c r="L63" s="147">
        <f>IFERROR(__xludf.DUMMYFUNCTION("""COMPUTED_VALUE"""),2825458.0)</f>
        <v>2825458</v>
      </c>
      <c r="M63" s="150" t="str">
        <f>IFERROR(__xludf.DUMMYFUNCTION("""COMPUTED_VALUE"""),"Emily Cohen: Brutal Honesty as a Business Strategy")</f>
        <v>Emily Cohen: Brutal Honesty as a Business Strategy</v>
      </c>
      <c r="N63" s="147" t="str">
        <f>IFERROR(__xludf.DUMMYFUNCTION("""COMPUTED_VALUE"""),"General")</f>
        <v>General</v>
      </c>
      <c r="O63" s="141" t="str">
        <f>IFERROR(__xludf.DUMMYFUNCTION("""COMPUTED_VALUE"""),"General")</f>
        <v>General</v>
      </c>
      <c r="P63" s="143">
        <f>IFERROR(__xludf.DUMMYFUNCTION("""COMPUTED_VALUE"""),0.022685185185185187)</f>
        <v>0.02268518519</v>
      </c>
      <c r="Q63" s="151"/>
      <c r="R63" s="140"/>
      <c r="S63" s="140"/>
    </row>
    <row r="64" ht="33.75" customHeight="1">
      <c r="A64" s="140"/>
      <c r="B64" s="140"/>
      <c r="C64" s="147">
        <f>IFERROR(__xludf.DUMMYFUNCTION("""COMPUTED_VALUE"""),2862037.0)</f>
        <v>2862037</v>
      </c>
      <c r="D64" s="150" t="str">
        <f>IFERROR(__xludf.DUMMYFUNCTION("""COMPUTED_VALUE"""),"Foundations of Enterprise Content Management")</f>
        <v>Foundations of Enterprise Content Management</v>
      </c>
      <c r="E64" s="147" t="str">
        <f>IFERROR(__xludf.DUMMYFUNCTION("""COMPUTED_VALUE"""),"General")</f>
        <v>General</v>
      </c>
      <c r="F64" s="141" t="str">
        <f>IFERROR(__xludf.DUMMYFUNCTION("""COMPUTED_VALUE"""),"Beginner")</f>
        <v>Beginner</v>
      </c>
      <c r="G64" s="143">
        <f>IFERROR(__xludf.DUMMYFUNCTION("""COMPUTED_VALUE"""),0.049421296296296297)</f>
        <v>0.0494212963</v>
      </c>
      <c r="H64" s="151"/>
      <c r="I64" s="140"/>
      <c r="J64" s="140"/>
      <c r="K64" s="140"/>
      <c r="L64" s="147">
        <f>IFERROR(__xludf.DUMMYFUNCTION("""COMPUTED_VALUE"""),2839077.0)</f>
        <v>2839077</v>
      </c>
      <c r="M64" s="150" t="str">
        <f>IFERROR(__xludf.DUMMYFUNCTION("""COMPUTED_VALUE"""),"Reframing Organizations (Blinkist Summary)")</f>
        <v>Reframing Organizations (Blinkist Summary)</v>
      </c>
      <c r="N64" s="147" t="str">
        <f>IFERROR(__xludf.DUMMYFUNCTION("""COMPUTED_VALUE"""),"General")</f>
        <v>General</v>
      </c>
      <c r="O64" s="141" t="str">
        <f>IFERROR(__xludf.DUMMYFUNCTION("""COMPUTED_VALUE"""),"General")</f>
        <v>General</v>
      </c>
      <c r="P64" s="143">
        <f>IFERROR(__xludf.DUMMYFUNCTION("""COMPUTED_VALUE"""),0.015219907407407408)</f>
        <v>0.01521990741</v>
      </c>
      <c r="Q64" s="151"/>
      <c r="R64" s="140"/>
      <c r="S64" s="140"/>
    </row>
    <row r="65" ht="33.75" customHeight="1">
      <c r="A65" s="140"/>
      <c r="B65" s="140"/>
      <c r="C65" s="147">
        <f>IFERROR(__xludf.DUMMYFUNCTION("""COMPUTED_VALUE"""),2859040.0)</f>
        <v>2859040</v>
      </c>
      <c r="D65" s="150" t="str">
        <f>IFERROR(__xludf.DUMMYFUNCTION("""COMPUTED_VALUE"""),"Getting Started with Live Streaming")</f>
        <v>Getting Started with Live Streaming</v>
      </c>
      <c r="E65" s="147" t="str">
        <f>IFERROR(__xludf.DUMMYFUNCTION("""COMPUTED_VALUE"""),"General")</f>
        <v>General</v>
      </c>
      <c r="F65" s="141" t="str">
        <f>IFERROR(__xludf.DUMMYFUNCTION("""COMPUTED_VALUE"""),"Beginner")</f>
        <v>Beginner</v>
      </c>
      <c r="G65" s="143">
        <f>IFERROR(__xludf.DUMMYFUNCTION("""COMPUTED_VALUE"""),0.027696759259259258)</f>
        <v>0.02769675926</v>
      </c>
      <c r="H65" s="151"/>
      <c r="I65" s="140"/>
      <c r="J65" s="140"/>
      <c r="K65" s="140"/>
      <c r="L65" s="147">
        <f>IFERROR(__xludf.DUMMYFUNCTION("""COMPUTED_VALUE"""),2864030.0)</f>
        <v>2864030</v>
      </c>
      <c r="M65" s="150" t="str">
        <f>IFERROR(__xludf.DUMMYFUNCTION("""COMPUTED_VALUE"""),"Driving Change and Anti-Racism")</f>
        <v>Driving Change and Anti-Racism</v>
      </c>
      <c r="N65" s="147" t="str">
        <f>IFERROR(__xludf.DUMMYFUNCTION("""COMPUTED_VALUE"""),"General")</f>
        <v>General</v>
      </c>
      <c r="O65" s="141" t="str">
        <f>IFERROR(__xludf.DUMMYFUNCTION("""COMPUTED_VALUE"""),"General")</f>
        <v>General</v>
      </c>
      <c r="P65" s="143">
        <f>IFERROR(__xludf.DUMMYFUNCTION("""COMPUTED_VALUE"""),0.011307870370370371)</f>
        <v>0.01130787037</v>
      </c>
      <c r="Q65" s="151"/>
      <c r="R65" s="140"/>
      <c r="S65" s="140"/>
    </row>
    <row r="66" ht="33.75" customHeight="1">
      <c r="A66" s="140"/>
      <c r="B66" s="140"/>
      <c r="C66" s="147">
        <f>IFERROR(__xludf.DUMMYFUNCTION("""COMPUTED_VALUE"""),2873072.0)</f>
        <v>2873072</v>
      </c>
      <c r="D66" s="150" t="str">
        <f>IFERROR(__xludf.DUMMYFUNCTION("""COMPUTED_VALUE"""),"Excel: Macros and VBA for Beginners")</f>
        <v>Excel: Macros and VBA for Beginners</v>
      </c>
      <c r="E66" s="147" t="str">
        <f>IFERROR(__xludf.DUMMYFUNCTION("""COMPUTED_VALUE"""),"General")</f>
        <v>General</v>
      </c>
      <c r="F66" s="141" t="str">
        <f>IFERROR(__xludf.DUMMYFUNCTION("""COMPUTED_VALUE"""),"Beginner")</f>
        <v>Beginner</v>
      </c>
      <c r="G66" s="143">
        <f>IFERROR(__xludf.DUMMYFUNCTION("""COMPUTED_VALUE"""),0.025775462962962962)</f>
        <v>0.02577546296</v>
      </c>
      <c r="H66" s="151"/>
      <c r="I66" s="140"/>
      <c r="J66" s="140"/>
      <c r="K66" s="140"/>
      <c r="L66" s="147">
        <f>IFERROR(__xludf.DUMMYFUNCTION("""COMPUTED_VALUE"""),2833004.0)</f>
        <v>2833004</v>
      </c>
      <c r="M66" s="150" t="str">
        <f>IFERROR(__xludf.DUMMYFUNCTION("""COMPUTED_VALUE"""),"Mastering Self-Leadership")</f>
        <v>Mastering Self-Leadership</v>
      </c>
      <c r="N66" s="147" t="str">
        <f>IFERROR(__xludf.DUMMYFUNCTION("""COMPUTED_VALUE"""),"General")</f>
        <v>General</v>
      </c>
      <c r="O66" s="141" t="str">
        <f>IFERROR(__xludf.DUMMYFUNCTION("""COMPUTED_VALUE"""),"General")</f>
        <v>General</v>
      </c>
      <c r="P66" s="143">
        <f>IFERROR(__xludf.DUMMYFUNCTION("""COMPUTED_VALUE"""),0.018113425925925925)</f>
        <v>0.01811342593</v>
      </c>
      <c r="Q66" s="151"/>
      <c r="R66" s="140"/>
      <c r="S66" s="140"/>
    </row>
    <row r="67" ht="33.75" customHeight="1">
      <c r="A67" s="140"/>
      <c r="B67" s="140"/>
      <c r="C67" s="147">
        <f>IFERROR(__xludf.DUMMYFUNCTION("""COMPUTED_VALUE"""),2822202.0)</f>
        <v>2822202</v>
      </c>
      <c r="D67" s="150" t="str">
        <f>IFERROR(__xludf.DUMMYFUNCTION("""COMPUTED_VALUE"""),"Excel: Power Query for Beginners")</f>
        <v>Excel: Power Query for Beginners</v>
      </c>
      <c r="E67" s="147" t="str">
        <f>IFERROR(__xludf.DUMMYFUNCTION("""COMPUTED_VALUE"""),"General")</f>
        <v>General</v>
      </c>
      <c r="F67" s="141" t="str">
        <f>IFERROR(__xludf.DUMMYFUNCTION("""COMPUTED_VALUE"""),"Beginner")</f>
        <v>Beginner</v>
      </c>
      <c r="G67" s="143">
        <f>IFERROR(__xludf.DUMMYFUNCTION("""COMPUTED_VALUE"""),0.01678240740740741)</f>
        <v>0.01678240741</v>
      </c>
      <c r="H67" s="151"/>
      <c r="I67" s="140"/>
      <c r="J67" s="140"/>
      <c r="K67" s="140"/>
      <c r="L67" s="147">
        <f>IFERROR(__xludf.DUMMYFUNCTION("""COMPUTED_VALUE"""),2825721.0)</f>
        <v>2825721</v>
      </c>
      <c r="M67" s="150" t="str">
        <f>IFERROR(__xludf.DUMMYFUNCTION("""COMPUTED_VALUE"""),"Preparing Yourself for Change")</f>
        <v>Preparing Yourself for Change</v>
      </c>
      <c r="N67" s="147" t="str">
        <f>IFERROR(__xludf.DUMMYFUNCTION("""COMPUTED_VALUE"""),"General")</f>
        <v>General</v>
      </c>
      <c r="O67" s="141" t="str">
        <f>IFERROR(__xludf.DUMMYFUNCTION("""COMPUTED_VALUE"""),"General")</f>
        <v>General</v>
      </c>
      <c r="P67" s="143">
        <f>IFERROR(__xludf.DUMMYFUNCTION("""COMPUTED_VALUE"""),0.019872685185185184)</f>
        <v>0.01987268519</v>
      </c>
      <c r="Q67" s="151"/>
      <c r="R67" s="140"/>
      <c r="S67" s="140"/>
    </row>
    <row r="68" ht="33.75" customHeight="1">
      <c r="A68" s="140"/>
      <c r="B68" s="140"/>
      <c r="C68" s="147">
        <f>IFERROR(__xludf.DUMMYFUNCTION("""COMPUTED_VALUE"""),3107161.0)</f>
        <v>3107161</v>
      </c>
      <c r="D68" s="150" t="str">
        <f>IFERROR(__xludf.DUMMYFUNCTION("""COMPUTED_VALUE"""),"Learning Cloud Computing: The Cloud and DevOps")</f>
        <v>Learning Cloud Computing: The Cloud and DevOps</v>
      </c>
      <c r="E68" s="147" t="str">
        <f>IFERROR(__xludf.DUMMYFUNCTION("""COMPUTED_VALUE"""),"General")</f>
        <v>General</v>
      </c>
      <c r="F68" s="141" t="str">
        <f>IFERROR(__xludf.DUMMYFUNCTION("""COMPUTED_VALUE"""),"Beginner")</f>
        <v>Beginner</v>
      </c>
      <c r="G68" s="143">
        <f>IFERROR(__xludf.DUMMYFUNCTION("""COMPUTED_VALUE"""),0.054224537037037036)</f>
        <v>0.05422453704</v>
      </c>
      <c r="H68" s="151"/>
      <c r="I68" s="140"/>
      <c r="J68" s="140"/>
      <c r="K68" s="140"/>
      <c r="L68" s="147">
        <f>IFERROR(__xludf.DUMMYFUNCTION("""COMPUTED_VALUE"""),2877280.0)</f>
        <v>2877280</v>
      </c>
      <c r="M68" s="150" t="str">
        <f>IFERROR(__xludf.DUMMYFUNCTION("""COMPUTED_VALUE"""),"Change Management: Plan on a Page")</f>
        <v>Change Management: Plan on a Page</v>
      </c>
      <c r="N68" s="147" t="str">
        <f>IFERROR(__xludf.DUMMYFUNCTION("""COMPUTED_VALUE"""),"General")</f>
        <v>General</v>
      </c>
      <c r="O68" s="141" t="str">
        <f>IFERROR(__xludf.DUMMYFUNCTION("""COMPUTED_VALUE"""),"General")</f>
        <v>General</v>
      </c>
      <c r="P68" s="143">
        <f>IFERROR(__xludf.DUMMYFUNCTION("""COMPUTED_VALUE"""),0.020891203703703703)</f>
        <v>0.0208912037</v>
      </c>
      <c r="Q68" s="151"/>
      <c r="R68" s="140"/>
      <c r="S68" s="140"/>
    </row>
    <row r="69" ht="33.75" customHeight="1">
      <c r="A69" s="140"/>
      <c r="B69" s="140"/>
      <c r="C69" s="147">
        <f>IFERROR(__xludf.DUMMYFUNCTION("""COMPUTED_VALUE"""),2885049.0)</f>
        <v>2885049</v>
      </c>
      <c r="D69" s="150" t="str">
        <f>IFERROR(__xludf.DUMMYFUNCTION("""COMPUTED_VALUE"""),"Learning Lucidchart")</f>
        <v>Learning Lucidchart</v>
      </c>
      <c r="E69" s="147" t="str">
        <f>IFERROR(__xludf.DUMMYFUNCTION("""COMPUTED_VALUE"""),"General")</f>
        <v>General</v>
      </c>
      <c r="F69" s="141" t="str">
        <f>IFERROR(__xludf.DUMMYFUNCTION("""COMPUTED_VALUE"""),"Beginner")</f>
        <v>Beginner</v>
      </c>
      <c r="G69" s="143">
        <f>IFERROR(__xludf.DUMMYFUNCTION("""COMPUTED_VALUE"""),0.05087962962962963)</f>
        <v>0.05087962963</v>
      </c>
      <c r="H69" s="151"/>
      <c r="I69" s="140"/>
      <c r="J69" s="140"/>
      <c r="K69" s="140"/>
      <c r="L69" s="147">
        <f>IFERROR(__xludf.DUMMYFUNCTION("""COMPUTED_VALUE"""),2876246.0)</f>
        <v>2876246</v>
      </c>
      <c r="M69" s="150" t="str">
        <f>IFERROR(__xludf.DUMMYFUNCTION("""COMPUTED_VALUE"""),"Change Management: Roadmap to Execution")</f>
        <v>Change Management: Roadmap to Execution</v>
      </c>
      <c r="N69" s="147" t="str">
        <f>IFERROR(__xludf.DUMMYFUNCTION("""COMPUTED_VALUE"""),"General")</f>
        <v>General</v>
      </c>
      <c r="O69" s="141" t="str">
        <f>IFERROR(__xludf.DUMMYFUNCTION("""COMPUTED_VALUE"""),"General")</f>
        <v>General</v>
      </c>
      <c r="P69" s="143">
        <f>IFERROR(__xludf.DUMMYFUNCTION("""COMPUTED_VALUE"""),0.02420138888888889)</f>
        <v>0.02420138889</v>
      </c>
      <c r="Q69" s="151"/>
      <c r="R69" s="140"/>
      <c r="S69" s="140"/>
    </row>
    <row r="70" ht="33.75" customHeight="1">
      <c r="A70" s="140"/>
      <c r="B70" s="140"/>
      <c r="C70" s="147">
        <f>IFERROR(__xludf.DUMMYFUNCTION("""COMPUTED_VALUE"""),2874214.0)</f>
        <v>2874214</v>
      </c>
      <c r="D70" s="150" t="str">
        <f>IFERROR(__xludf.DUMMYFUNCTION("""COMPUTED_VALUE"""),"Learning PowerPoint for the Web (Office 365/Microsoft 365)")</f>
        <v>Learning PowerPoint for the Web (Office 365/Microsoft 365)</v>
      </c>
      <c r="E70" s="147" t="str">
        <f>IFERROR(__xludf.DUMMYFUNCTION("""COMPUTED_VALUE"""),"General")</f>
        <v>General</v>
      </c>
      <c r="F70" s="141" t="str">
        <f>IFERROR(__xludf.DUMMYFUNCTION("""COMPUTED_VALUE"""),"Beginner")</f>
        <v>Beginner</v>
      </c>
      <c r="G70" s="143">
        <f>IFERROR(__xludf.DUMMYFUNCTION("""COMPUTED_VALUE"""),0.059537037037037034)</f>
        <v>0.05953703704</v>
      </c>
      <c r="H70" s="151"/>
      <c r="I70" s="140"/>
      <c r="J70" s="140"/>
      <c r="K70" s="140"/>
      <c r="L70" s="147">
        <f>IFERROR(__xludf.DUMMYFUNCTION("""COMPUTED_VALUE"""),2883104.0)</f>
        <v>2883104</v>
      </c>
      <c r="M70" s="150" t="str">
        <f>IFERROR(__xludf.DUMMYFUNCTION("""COMPUTED_VALUE"""),"How to Be More Inclusive")</f>
        <v>How to Be More Inclusive</v>
      </c>
      <c r="N70" s="147" t="str">
        <f>IFERROR(__xludf.DUMMYFUNCTION("""COMPUTED_VALUE"""),"General")</f>
        <v>General</v>
      </c>
      <c r="O70" s="141" t="str">
        <f>IFERROR(__xludf.DUMMYFUNCTION("""COMPUTED_VALUE"""),"General")</f>
        <v>General</v>
      </c>
      <c r="P70" s="143">
        <f>IFERROR(__xludf.DUMMYFUNCTION("""COMPUTED_VALUE"""),0.050243055555555555)</f>
        <v>0.05024305556</v>
      </c>
      <c r="Q70" s="151"/>
      <c r="R70" s="140"/>
      <c r="S70" s="140"/>
    </row>
    <row r="71" ht="33.75" customHeight="1">
      <c r="A71" s="140"/>
      <c r="B71" s="140"/>
      <c r="C71" s="147">
        <f>IFERROR(__xludf.DUMMYFUNCTION("""COMPUTED_VALUE"""),2881212.0)</f>
        <v>2881212</v>
      </c>
      <c r="D71" s="150" t="str">
        <f>IFERROR(__xludf.DUMMYFUNCTION("""COMPUTED_VALUE"""),"Learning Word for the web (Office 365/Microsoft 365)")</f>
        <v>Learning Word for the web (Office 365/Microsoft 365)</v>
      </c>
      <c r="E71" s="147" t="str">
        <f>IFERROR(__xludf.DUMMYFUNCTION("""COMPUTED_VALUE"""),"General")</f>
        <v>General</v>
      </c>
      <c r="F71" s="141" t="str">
        <f>IFERROR(__xludf.DUMMYFUNCTION("""COMPUTED_VALUE"""),"Beginner")</f>
        <v>Beginner</v>
      </c>
      <c r="G71" s="143">
        <f>IFERROR(__xludf.DUMMYFUNCTION("""COMPUTED_VALUE"""),0.045960648148148146)</f>
        <v>0.04596064815</v>
      </c>
      <c r="H71" s="151"/>
      <c r="I71" s="140"/>
      <c r="J71" s="140"/>
      <c r="K71" s="140"/>
      <c r="L71" s="147"/>
      <c r="M71" s="159"/>
      <c r="N71" s="147"/>
      <c r="O71" s="141"/>
      <c r="P71" s="143"/>
      <c r="Q71" s="151"/>
      <c r="R71" s="140"/>
      <c r="S71" s="140"/>
    </row>
    <row r="72" ht="33.75" customHeight="1">
      <c r="A72" s="140"/>
      <c r="B72" s="140"/>
      <c r="C72" s="147">
        <f>IFERROR(__xludf.DUMMYFUNCTION("""COMPUTED_VALUE"""),2883180.0)</f>
        <v>2883180</v>
      </c>
      <c r="D72" s="150" t="str">
        <f>IFERROR(__xludf.DUMMYFUNCTION("""COMPUTED_VALUE"""),"Buying on Ariba Discovery")</f>
        <v>Buying on Ariba Discovery</v>
      </c>
      <c r="E72" s="147" t="str">
        <f>IFERROR(__xludf.DUMMYFUNCTION("""COMPUTED_VALUE"""),"General")</f>
        <v>General</v>
      </c>
      <c r="F72" s="141" t="str">
        <f>IFERROR(__xludf.DUMMYFUNCTION("""COMPUTED_VALUE"""),"Beginner")</f>
        <v>Beginner</v>
      </c>
      <c r="G72" s="143">
        <f>IFERROR(__xludf.DUMMYFUNCTION("""COMPUTED_VALUE"""),0.03125)</f>
        <v>0.03125</v>
      </c>
      <c r="H72" s="151"/>
      <c r="I72" s="140"/>
      <c r="J72" s="140"/>
      <c r="K72" s="140"/>
      <c r="L72" s="147"/>
      <c r="M72" s="159"/>
      <c r="N72" s="147"/>
      <c r="O72" s="141"/>
      <c r="P72" s="143"/>
      <c r="Q72" s="151"/>
      <c r="R72" s="140"/>
      <c r="S72" s="140"/>
    </row>
    <row r="73" ht="33.75" customHeight="1">
      <c r="A73" s="140"/>
      <c r="B73" s="140"/>
      <c r="C73" s="147">
        <f>IFERROR(__xludf.DUMMYFUNCTION("""COMPUTED_VALUE"""),2880244.0)</f>
        <v>2880244</v>
      </c>
      <c r="D73" s="150" t="str">
        <f>IFERROR(__xludf.DUMMYFUNCTION("""COMPUTED_VALUE"""),"Introduction to Network Routing")</f>
        <v>Introduction to Network Routing</v>
      </c>
      <c r="E73" s="147" t="str">
        <f>IFERROR(__xludf.DUMMYFUNCTION("""COMPUTED_VALUE"""),"General")</f>
        <v>General</v>
      </c>
      <c r="F73" s="141" t="str">
        <f>IFERROR(__xludf.DUMMYFUNCTION("""COMPUTED_VALUE"""),"Beginner")</f>
        <v>Beginner</v>
      </c>
      <c r="G73" s="143">
        <f>IFERROR(__xludf.DUMMYFUNCTION("""COMPUTED_VALUE"""),0.052118055555555556)</f>
        <v>0.05211805556</v>
      </c>
      <c r="H73" s="151"/>
      <c r="I73" s="140"/>
      <c r="J73" s="140"/>
      <c r="K73" s="140"/>
      <c r="L73" s="147"/>
      <c r="M73" s="159"/>
      <c r="N73" s="147"/>
      <c r="O73" s="141"/>
      <c r="P73" s="143"/>
      <c r="Q73" s="151"/>
      <c r="R73" s="140"/>
      <c r="S73" s="140"/>
    </row>
    <row r="74" ht="33.75" customHeight="1">
      <c r="A74" s="140"/>
      <c r="B74" s="140"/>
      <c r="C74" s="147">
        <f>IFERROR(__xludf.DUMMYFUNCTION("""COMPUTED_VALUE"""),2881068.0)</f>
        <v>2881068</v>
      </c>
      <c r="D74" s="150" t="str">
        <f>IFERROR(__xludf.DUMMYFUNCTION("""COMPUTED_VALUE"""),"First Five Things You Have to Do to Start a Business as a Creator")</f>
        <v>First Five Things You Have to Do to Start a Business as a Creator</v>
      </c>
      <c r="E74" s="147" t="str">
        <f>IFERROR(__xludf.DUMMYFUNCTION("""COMPUTED_VALUE"""),"General")</f>
        <v>General</v>
      </c>
      <c r="F74" s="141" t="str">
        <f>IFERROR(__xludf.DUMMYFUNCTION("""COMPUTED_VALUE"""),"Beginner")</f>
        <v>Beginner</v>
      </c>
      <c r="G74" s="143">
        <f>IFERROR(__xludf.DUMMYFUNCTION("""COMPUTED_VALUE"""),0.025243055555555557)</f>
        <v>0.02524305556</v>
      </c>
      <c r="H74" s="151"/>
      <c r="I74" s="140"/>
      <c r="J74" s="140"/>
      <c r="K74" s="140"/>
      <c r="L74" s="147"/>
      <c r="M74" s="159"/>
      <c r="N74" s="147"/>
      <c r="O74" s="141"/>
      <c r="P74" s="143"/>
      <c r="Q74" s="151"/>
      <c r="R74" s="140"/>
      <c r="S74" s="140"/>
    </row>
    <row r="75" ht="33.75" customHeight="1">
      <c r="A75" s="140"/>
      <c r="B75" s="140"/>
      <c r="C75" s="147">
        <f>IFERROR(__xludf.DUMMYFUNCTION("""COMPUTED_VALUE"""),2424659.0)</f>
        <v>2424659</v>
      </c>
      <c r="D75" s="150" t="str">
        <f>IFERROR(__xludf.DUMMYFUNCTION("""COMPUTED_VALUE"""),"Blockchain Basics")</f>
        <v>Blockchain Basics</v>
      </c>
      <c r="E75" s="147" t="str">
        <f>IFERROR(__xludf.DUMMYFUNCTION("""COMPUTED_VALUE"""),"General")</f>
        <v>General</v>
      </c>
      <c r="F75" s="141" t="str">
        <f>IFERROR(__xludf.DUMMYFUNCTION("""COMPUTED_VALUE"""),"Beginner")</f>
        <v>Beginner</v>
      </c>
      <c r="G75" s="143">
        <f>IFERROR(__xludf.DUMMYFUNCTION("""COMPUTED_VALUE"""),0.046377314814814816)</f>
        <v>0.04637731481</v>
      </c>
      <c r="H75" s="151"/>
      <c r="I75" s="140"/>
      <c r="J75" s="140"/>
      <c r="K75" s="140"/>
      <c r="L75" s="147"/>
      <c r="M75" s="159"/>
      <c r="N75" s="147"/>
      <c r="O75" s="141"/>
      <c r="P75" s="143"/>
      <c r="Q75" s="151"/>
      <c r="R75" s="140"/>
      <c r="S75" s="140"/>
    </row>
    <row r="76" ht="33.75" customHeight="1">
      <c r="A76" s="140"/>
      <c r="B76" s="140"/>
      <c r="C76" s="147">
        <f>IFERROR(__xludf.DUMMYFUNCTION("""COMPUTED_VALUE"""),2883162.0)</f>
        <v>2883162</v>
      </c>
      <c r="D76" s="150" t="str">
        <f>IFERROR(__xludf.DUMMYFUNCTION("""COMPUTED_VALUE"""),"Gmail Essential Training")</f>
        <v>Gmail Essential Training</v>
      </c>
      <c r="E76" s="147" t="str">
        <f>IFERROR(__xludf.DUMMYFUNCTION("""COMPUTED_VALUE"""),"General")</f>
        <v>General</v>
      </c>
      <c r="F76" s="141" t="str">
        <f>IFERROR(__xludf.DUMMYFUNCTION("""COMPUTED_VALUE"""),"Beginner + Intermediate")</f>
        <v>Beginner + Intermediate</v>
      </c>
      <c r="G76" s="143">
        <f>IFERROR(__xludf.DUMMYFUNCTION("""COMPUTED_VALUE"""),0.06606481481481481)</f>
        <v>0.06606481481</v>
      </c>
      <c r="H76" s="151"/>
      <c r="I76" s="140"/>
      <c r="J76" s="140"/>
      <c r="K76" s="140"/>
      <c r="L76" s="147"/>
      <c r="M76" s="159"/>
      <c r="N76" s="147"/>
      <c r="O76" s="141"/>
      <c r="P76" s="143"/>
      <c r="Q76" s="151"/>
      <c r="R76" s="140"/>
      <c r="S76" s="140"/>
    </row>
    <row r="77" ht="33.75" customHeight="1">
      <c r="A77" s="140"/>
      <c r="B77" s="140"/>
      <c r="C77" s="147">
        <f>IFERROR(__xludf.DUMMYFUNCTION("""COMPUTED_VALUE"""),772329.0)</f>
        <v>772329</v>
      </c>
      <c r="D77" s="150" t="str">
        <f>IFERROR(__xludf.DUMMYFUNCTION("""COMPUTED_VALUE"""),"Agile Testing")</f>
        <v>Agile Testing</v>
      </c>
      <c r="E77" s="147" t="str">
        <f>IFERROR(__xludf.DUMMYFUNCTION("""COMPUTED_VALUE"""),"General")</f>
        <v>General</v>
      </c>
      <c r="F77" s="141" t="str">
        <f>IFERROR(__xludf.DUMMYFUNCTION("""COMPUTED_VALUE"""),"Beginner + Intermediate")</f>
        <v>Beginner + Intermediate</v>
      </c>
      <c r="G77" s="143">
        <f>IFERROR(__xludf.DUMMYFUNCTION("""COMPUTED_VALUE"""),0.03414351851851852)</f>
        <v>0.03414351852</v>
      </c>
      <c r="H77" s="151"/>
      <c r="I77" s="140"/>
      <c r="J77" s="140"/>
      <c r="K77" s="140"/>
      <c r="L77" s="147"/>
      <c r="M77" s="159"/>
      <c r="N77" s="147"/>
      <c r="O77" s="141"/>
      <c r="P77" s="143"/>
      <c r="Q77" s="151"/>
      <c r="R77" s="140"/>
      <c r="S77" s="140"/>
    </row>
    <row r="78" ht="33.75" customHeight="1">
      <c r="A78" s="140"/>
      <c r="B78" s="140"/>
      <c r="C78" s="147">
        <f>IFERROR(__xludf.DUMMYFUNCTION("""COMPUTED_VALUE"""),751335.0)</f>
        <v>751335</v>
      </c>
      <c r="D78" s="150" t="str">
        <f>IFERROR(__xludf.DUMMYFUNCTION("""COMPUTED_VALUE"""),"Applied Machine Learning: Foundations")</f>
        <v>Applied Machine Learning: Foundations</v>
      </c>
      <c r="E78" s="147" t="str">
        <f>IFERROR(__xludf.DUMMYFUNCTION("""COMPUTED_VALUE"""),"General")</f>
        <v>General</v>
      </c>
      <c r="F78" s="141" t="str">
        <f>IFERROR(__xludf.DUMMYFUNCTION("""COMPUTED_VALUE"""),"Beginner + Intermediate")</f>
        <v>Beginner + Intermediate</v>
      </c>
      <c r="G78" s="143">
        <f>IFERROR(__xludf.DUMMYFUNCTION("""COMPUTED_VALUE"""),0.11034722222222222)</f>
        <v>0.1103472222</v>
      </c>
      <c r="H78" s="151"/>
      <c r="I78" s="140"/>
      <c r="J78" s="140"/>
      <c r="K78" s="140"/>
      <c r="L78" s="147"/>
      <c r="M78" s="159"/>
      <c r="N78" s="147"/>
      <c r="O78" s="141"/>
      <c r="P78" s="143"/>
      <c r="Q78" s="151"/>
      <c r="R78" s="140"/>
      <c r="S78" s="140"/>
    </row>
    <row r="79" ht="33.75" customHeight="1">
      <c r="A79" s="140"/>
      <c r="B79" s="140"/>
      <c r="C79" s="147">
        <f>IFERROR(__xludf.DUMMYFUNCTION("""COMPUTED_VALUE"""),5028662.0)</f>
        <v>5028662</v>
      </c>
      <c r="D79" s="150" t="str">
        <f>IFERROR(__xludf.DUMMYFUNCTION("""COMPUTED_VALUE"""),"Building Recommender Systems with Machine Learning and AI")</f>
        <v>Building Recommender Systems with Machine Learning and AI</v>
      </c>
      <c r="E79" s="147" t="str">
        <f>IFERROR(__xludf.DUMMYFUNCTION("""COMPUTED_VALUE"""),"General")</f>
        <v>General</v>
      </c>
      <c r="F79" s="141" t="str">
        <f>IFERROR(__xludf.DUMMYFUNCTION("""COMPUTED_VALUE"""),"Beginner + Intermediate")</f>
        <v>Beginner + Intermediate</v>
      </c>
      <c r="G79" s="143">
        <f>IFERROR(__xludf.DUMMYFUNCTION("""COMPUTED_VALUE"""),0.3788425925925926)</f>
        <v>0.3788425926</v>
      </c>
      <c r="H79" s="151"/>
      <c r="I79" s="140"/>
      <c r="J79" s="140"/>
      <c r="K79" s="140"/>
      <c r="L79" s="147"/>
      <c r="M79" s="159"/>
      <c r="N79" s="147"/>
      <c r="O79" s="141"/>
      <c r="P79" s="143"/>
      <c r="Q79" s="151"/>
      <c r="R79" s="140"/>
      <c r="S79" s="140"/>
    </row>
    <row r="80" ht="33.75" customHeight="1">
      <c r="A80" s="140"/>
      <c r="B80" s="140"/>
      <c r="C80" s="147">
        <f>IFERROR(__xludf.DUMMYFUNCTION("""COMPUTED_VALUE"""),5034175.0)</f>
        <v>5034175</v>
      </c>
      <c r="D80" s="150" t="str">
        <f>IFERROR(__xludf.DUMMYFUNCTION("""COMPUTED_VALUE"""),"Introduction to Deep Learning with OpenCV")</f>
        <v>Introduction to Deep Learning with OpenCV</v>
      </c>
      <c r="E80" s="147" t="str">
        <f>IFERROR(__xludf.DUMMYFUNCTION("""COMPUTED_VALUE"""),"General")</f>
        <v>General</v>
      </c>
      <c r="F80" s="141" t="str">
        <f>IFERROR(__xludf.DUMMYFUNCTION("""COMPUTED_VALUE"""),"Beginner + Intermediate")</f>
        <v>Beginner + Intermediate</v>
      </c>
      <c r="G80" s="143">
        <f>IFERROR(__xludf.DUMMYFUNCTION("""COMPUTED_VALUE"""),0.034074074074074076)</f>
        <v>0.03407407407</v>
      </c>
      <c r="H80" s="151"/>
      <c r="I80" s="140"/>
      <c r="J80" s="140"/>
      <c r="K80" s="140"/>
      <c r="L80" s="147"/>
      <c r="M80" s="159"/>
      <c r="N80" s="147"/>
      <c r="O80" s="141"/>
      <c r="P80" s="143"/>
      <c r="Q80" s="151"/>
      <c r="R80" s="140"/>
      <c r="S80" s="140"/>
    </row>
    <row r="81" ht="33.75" customHeight="1">
      <c r="A81" s="140"/>
      <c r="B81" s="140"/>
      <c r="C81" s="147">
        <f>IFERROR(__xludf.DUMMYFUNCTION("""COMPUTED_VALUE"""),2833044.0)</f>
        <v>2833044</v>
      </c>
      <c r="D81" s="150" t="str">
        <f>IFERROR(__xludf.DUMMYFUNCTION("""COMPUTED_VALUE"""),"Introduction to Responsible AI Algorithm Design")</f>
        <v>Introduction to Responsible AI Algorithm Design</v>
      </c>
      <c r="E81" s="147" t="str">
        <f>IFERROR(__xludf.DUMMYFUNCTION("""COMPUTED_VALUE"""),"General")</f>
        <v>General</v>
      </c>
      <c r="F81" s="141" t="str">
        <f>IFERROR(__xludf.DUMMYFUNCTION("""COMPUTED_VALUE"""),"Beginner + Intermediate")</f>
        <v>Beginner + Intermediate</v>
      </c>
      <c r="G81" s="143">
        <f>IFERROR(__xludf.DUMMYFUNCTION("""COMPUTED_VALUE"""),0.026956018518518518)</f>
        <v>0.02695601852</v>
      </c>
      <c r="H81" s="151"/>
      <c r="I81" s="140"/>
      <c r="J81" s="140"/>
      <c r="K81" s="140"/>
      <c r="L81" s="147"/>
      <c r="M81" s="159"/>
      <c r="N81" s="147"/>
      <c r="O81" s="141"/>
      <c r="P81" s="143"/>
      <c r="Q81" s="151"/>
      <c r="R81" s="140"/>
      <c r="S81" s="140"/>
    </row>
    <row r="82" ht="33.75" customHeight="1">
      <c r="A82" s="140"/>
      <c r="B82" s="140"/>
      <c r="C82" s="147">
        <f>IFERROR(__xludf.DUMMYFUNCTION("""COMPUTED_VALUE"""),2886252.0)</f>
        <v>2886252</v>
      </c>
      <c r="D82" s="150" t="str">
        <f>IFERROR(__xludf.DUMMYFUNCTION("""COMPUTED_VALUE"""),"Microsoft Viva First Look")</f>
        <v>Microsoft Viva First Look</v>
      </c>
      <c r="E82" s="147" t="str">
        <f>IFERROR(__xludf.DUMMYFUNCTION("""COMPUTED_VALUE"""),"General")</f>
        <v>General</v>
      </c>
      <c r="F82" s="141" t="str">
        <f>IFERROR(__xludf.DUMMYFUNCTION("""COMPUTED_VALUE"""),"Beginner + Intermediate")</f>
        <v>Beginner + Intermediate</v>
      </c>
      <c r="G82" s="143">
        <f>IFERROR(__xludf.DUMMYFUNCTION("""COMPUTED_VALUE"""),0.03113425925925926)</f>
        <v>0.03113425926</v>
      </c>
      <c r="H82" s="151"/>
      <c r="I82" s="140"/>
      <c r="J82" s="140"/>
      <c r="K82" s="140"/>
      <c r="L82" s="147"/>
      <c r="M82" s="159"/>
      <c r="N82" s="147"/>
      <c r="O82" s="141"/>
      <c r="P82" s="143"/>
      <c r="Q82" s="151"/>
      <c r="R82" s="140"/>
      <c r="S82" s="140"/>
    </row>
    <row r="83" ht="33.75" customHeight="1">
      <c r="A83" s="140"/>
      <c r="B83" s="140"/>
      <c r="C83" s="147">
        <f>IFERROR(__xludf.DUMMYFUNCTION("""COMPUTED_VALUE"""),2878200.0)</f>
        <v>2878200</v>
      </c>
      <c r="D83" s="150" t="str">
        <f>IFERROR(__xludf.DUMMYFUNCTION("""COMPUTED_VALUE"""),"QuickBooks Online Essential Training")</f>
        <v>QuickBooks Online Essential Training</v>
      </c>
      <c r="E83" s="147" t="str">
        <f>IFERROR(__xludf.DUMMYFUNCTION("""COMPUTED_VALUE"""),"General")</f>
        <v>General</v>
      </c>
      <c r="F83" s="141" t="str">
        <f>IFERROR(__xludf.DUMMYFUNCTION("""COMPUTED_VALUE"""),"Beginner + Intermediate")</f>
        <v>Beginner + Intermediate</v>
      </c>
      <c r="G83" s="143">
        <f>IFERROR(__xludf.DUMMYFUNCTION("""COMPUTED_VALUE"""),0.16766203703703703)</f>
        <v>0.167662037</v>
      </c>
      <c r="H83" s="151"/>
      <c r="I83" s="140"/>
      <c r="J83" s="140"/>
      <c r="K83" s="140"/>
      <c r="L83" s="147"/>
      <c r="M83" s="159"/>
      <c r="N83" s="147"/>
      <c r="O83" s="141"/>
      <c r="P83" s="143"/>
      <c r="Q83" s="151"/>
      <c r="R83" s="140"/>
      <c r="S83" s="140"/>
    </row>
    <row r="84" ht="33.75" customHeight="1">
      <c r="A84" s="140"/>
      <c r="B84" s="140"/>
      <c r="C84" s="147">
        <f>IFERROR(__xludf.DUMMYFUNCTION("""COMPUTED_VALUE"""),2874324.0)</f>
        <v>2874324</v>
      </c>
      <c r="D84" s="150" t="str">
        <f>IFERROR(__xludf.DUMMYFUNCTION("""COMPUTED_VALUE"""),"Google Sheets Essential Training")</f>
        <v>Google Sheets Essential Training</v>
      </c>
      <c r="E84" s="147" t="str">
        <f>IFERROR(__xludf.DUMMYFUNCTION("""COMPUTED_VALUE"""),"General")</f>
        <v>General</v>
      </c>
      <c r="F84" s="141" t="str">
        <f>IFERROR(__xludf.DUMMYFUNCTION("""COMPUTED_VALUE"""),"Beginner + Intermediate")</f>
        <v>Beginner + Intermediate</v>
      </c>
      <c r="G84" s="143">
        <f>IFERROR(__xludf.DUMMYFUNCTION("""COMPUTED_VALUE"""),0.0778125)</f>
        <v>0.0778125</v>
      </c>
      <c r="H84" s="151"/>
      <c r="I84" s="140"/>
      <c r="J84" s="140"/>
      <c r="K84" s="140"/>
      <c r="L84" s="147"/>
      <c r="M84" s="159"/>
      <c r="N84" s="147"/>
      <c r="O84" s="141"/>
      <c r="P84" s="143"/>
      <c r="Q84" s="151"/>
      <c r="R84" s="140"/>
      <c r="S84" s="140"/>
    </row>
    <row r="85" ht="33.75" customHeight="1">
      <c r="A85" s="140"/>
      <c r="B85" s="140"/>
      <c r="C85" s="147">
        <f>IFERROR(__xludf.DUMMYFUNCTION("""COMPUTED_VALUE"""),2893129.0)</f>
        <v>2893129</v>
      </c>
      <c r="D85" s="150" t="str">
        <f>IFERROR(__xludf.DUMMYFUNCTION("""COMPUTED_VALUE"""),"Simple Statistics for User Experience Projects")</f>
        <v>Simple Statistics for User Experience Projects</v>
      </c>
      <c r="E85" s="147" t="str">
        <f>IFERROR(__xludf.DUMMYFUNCTION("""COMPUTED_VALUE"""),"General")</f>
        <v>General</v>
      </c>
      <c r="F85" s="141" t="str">
        <f>IFERROR(__xludf.DUMMYFUNCTION("""COMPUTED_VALUE"""),"Beginner + Intermediate")</f>
        <v>Beginner + Intermediate</v>
      </c>
      <c r="G85" s="143">
        <f>IFERROR(__xludf.DUMMYFUNCTION("""COMPUTED_VALUE"""),0.0732986111111111)</f>
        <v>0.07329861111</v>
      </c>
      <c r="H85" s="151"/>
      <c r="I85" s="140"/>
      <c r="J85" s="140"/>
      <c r="K85" s="140"/>
      <c r="L85" s="147"/>
      <c r="M85" s="159"/>
      <c r="N85" s="147"/>
      <c r="O85" s="141"/>
      <c r="P85" s="143"/>
      <c r="Q85" s="151"/>
      <c r="R85" s="140"/>
      <c r="S85" s="140"/>
    </row>
    <row r="86" ht="33.75" customHeight="1">
      <c r="A86" s="140"/>
      <c r="B86" s="140"/>
      <c r="C86" s="147">
        <f>IFERROR(__xludf.DUMMYFUNCTION("""COMPUTED_VALUE"""),3129473.0)</f>
        <v>3129473</v>
      </c>
      <c r="D86" s="150" t="str">
        <f>IFERROR(__xludf.DUMMYFUNCTION("""COMPUTED_VALUE"""),"Systems Thinking for Product Designers")</f>
        <v>Systems Thinking for Product Designers</v>
      </c>
      <c r="E86" s="147" t="str">
        <f>IFERROR(__xludf.DUMMYFUNCTION("""COMPUTED_VALUE"""),"General")</f>
        <v>General</v>
      </c>
      <c r="F86" s="141" t="str">
        <f>IFERROR(__xludf.DUMMYFUNCTION("""COMPUTED_VALUE"""),"Beginner + Intermediate")</f>
        <v>Beginner + Intermediate</v>
      </c>
      <c r="G86" s="143">
        <f>IFERROR(__xludf.DUMMYFUNCTION("""COMPUTED_VALUE"""),0.09091435185185186)</f>
        <v>0.09091435185</v>
      </c>
      <c r="H86" s="151"/>
      <c r="I86" s="140"/>
      <c r="J86" s="140"/>
      <c r="K86" s="140"/>
      <c r="L86" s="147"/>
      <c r="M86" s="159"/>
      <c r="N86" s="147"/>
      <c r="O86" s="141"/>
      <c r="P86" s="143"/>
      <c r="Q86" s="151"/>
      <c r="R86" s="140"/>
      <c r="S86" s="140"/>
    </row>
    <row r="87" ht="33.75" customHeight="1">
      <c r="A87" s="140"/>
      <c r="B87" s="140"/>
      <c r="C87" s="147">
        <f>IFERROR(__xludf.DUMMYFUNCTION("""COMPUTED_VALUE"""),2421421.0)</f>
        <v>2421421</v>
      </c>
      <c r="D87" s="150" t="str">
        <f>IFERROR(__xludf.DUMMYFUNCTION("""COMPUTED_VALUE"""),"Google Analytics (GA4): Audience-Building and Segmentation")</f>
        <v>Google Analytics (GA4): Audience-Building and Segmentation</v>
      </c>
      <c r="E87" s="147" t="str">
        <f>IFERROR(__xludf.DUMMYFUNCTION("""COMPUTED_VALUE"""),"General")</f>
        <v>General</v>
      </c>
      <c r="F87" s="141" t="str">
        <f>IFERROR(__xludf.DUMMYFUNCTION("""COMPUTED_VALUE"""),"Intermediate")</f>
        <v>Intermediate</v>
      </c>
      <c r="G87" s="143">
        <f>IFERROR(__xludf.DUMMYFUNCTION("""COMPUTED_VALUE"""),0.043854166666666666)</f>
        <v>0.04385416667</v>
      </c>
      <c r="H87" s="151"/>
      <c r="I87" s="140"/>
      <c r="J87" s="140"/>
      <c r="K87" s="140"/>
      <c r="L87" s="147"/>
      <c r="M87" s="159"/>
      <c r="N87" s="147"/>
      <c r="O87" s="141"/>
      <c r="P87" s="143"/>
      <c r="Q87" s="151"/>
      <c r="R87" s="140"/>
      <c r="S87" s="140"/>
    </row>
    <row r="88" ht="33.75" customHeight="1">
      <c r="A88" s="140"/>
      <c r="B88" s="140"/>
      <c r="C88" s="147">
        <f>IFERROR(__xludf.DUMMYFUNCTION("""COMPUTED_VALUE"""),2422522.0)</f>
        <v>2422522</v>
      </c>
      <c r="D88" s="150" t="str">
        <f>IFERROR(__xludf.DUMMYFUNCTION("""COMPUTED_VALUE"""),"Migrating from Universal Analytics to Google Analytics 4 (GA4)")</f>
        <v>Migrating from Universal Analytics to Google Analytics 4 (GA4)</v>
      </c>
      <c r="E88" s="147" t="str">
        <f>IFERROR(__xludf.DUMMYFUNCTION("""COMPUTED_VALUE"""),"General")</f>
        <v>General</v>
      </c>
      <c r="F88" s="141" t="str">
        <f>IFERROR(__xludf.DUMMYFUNCTION("""COMPUTED_VALUE"""),"Intermediate")</f>
        <v>Intermediate</v>
      </c>
      <c r="G88" s="143">
        <f>IFERROR(__xludf.DUMMYFUNCTION("""COMPUTED_VALUE"""),0.03886574074074074)</f>
        <v>0.03886574074</v>
      </c>
      <c r="H88" s="151"/>
      <c r="I88" s="140"/>
      <c r="J88" s="140"/>
      <c r="K88" s="140"/>
      <c r="L88" s="147"/>
      <c r="M88" s="159"/>
      <c r="N88" s="147"/>
      <c r="O88" s="141"/>
      <c r="P88" s="143"/>
      <c r="Q88" s="151"/>
      <c r="R88" s="140"/>
      <c r="S88" s="140"/>
    </row>
    <row r="89" ht="33.75" customHeight="1">
      <c r="A89" s="140"/>
      <c r="B89" s="140"/>
      <c r="C89" s="147">
        <f>IFERROR(__xludf.DUMMYFUNCTION("""COMPUTED_VALUE"""),2425358.0)</f>
        <v>2425358</v>
      </c>
      <c r="D89" s="150" t="str">
        <f>IFERROR(__xludf.DUMMYFUNCTION("""COMPUTED_VALUE"""),"Learning SAP Production Planning")</f>
        <v>Learning SAP Production Planning</v>
      </c>
      <c r="E89" s="147" t="str">
        <f>IFERROR(__xludf.DUMMYFUNCTION("""COMPUTED_VALUE"""),"General")</f>
        <v>General</v>
      </c>
      <c r="F89" s="141" t="str">
        <f>IFERROR(__xludf.DUMMYFUNCTION("""COMPUTED_VALUE"""),"Intermediate")</f>
        <v>Intermediate</v>
      </c>
      <c r="G89" s="143">
        <f>IFERROR(__xludf.DUMMYFUNCTION("""COMPUTED_VALUE"""),0.055636574074074074)</f>
        <v>0.05563657407</v>
      </c>
      <c r="H89" s="151"/>
      <c r="I89" s="140"/>
      <c r="J89" s="140"/>
      <c r="K89" s="140"/>
      <c r="L89" s="147"/>
      <c r="M89" s="159"/>
      <c r="N89" s="147"/>
      <c r="O89" s="141"/>
      <c r="P89" s="143"/>
      <c r="Q89" s="151"/>
      <c r="R89" s="140"/>
      <c r="S89" s="140"/>
    </row>
    <row r="90" ht="33.75" customHeight="1">
      <c r="A90" s="140"/>
      <c r="B90" s="140"/>
      <c r="C90" s="147">
        <f>IFERROR(__xludf.DUMMYFUNCTION("""COMPUTED_VALUE"""),2808537.0)</f>
        <v>2808537</v>
      </c>
      <c r="D90" s="150" t="str">
        <f>IFERROR(__xludf.DUMMYFUNCTION("""COMPUTED_VALUE"""),"Learning SAP MM (Materials Management)")</f>
        <v>Learning SAP MM (Materials Management)</v>
      </c>
      <c r="E90" s="147" t="str">
        <f>IFERROR(__xludf.DUMMYFUNCTION("""COMPUTED_VALUE"""),"General")</f>
        <v>General</v>
      </c>
      <c r="F90" s="141" t="str">
        <f>IFERROR(__xludf.DUMMYFUNCTION("""COMPUTED_VALUE"""),"Intermediate")</f>
        <v>Intermediate</v>
      </c>
      <c r="G90" s="143">
        <f>IFERROR(__xludf.DUMMYFUNCTION("""COMPUTED_VALUE"""),0.05115740740740741)</f>
        <v>0.05115740741</v>
      </c>
      <c r="H90" s="151"/>
      <c r="I90" s="140"/>
      <c r="J90" s="140"/>
      <c r="K90" s="140"/>
      <c r="L90" s="147"/>
      <c r="M90" s="159"/>
      <c r="N90" s="147"/>
      <c r="O90" s="141"/>
      <c r="P90" s="143"/>
      <c r="Q90" s="151"/>
      <c r="R90" s="140"/>
      <c r="S90" s="140"/>
    </row>
    <row r="91" ht="33.75" customHeight="1">
      <c r="A91" s="140"/>
      <c r="B91" s="140"/>
      <c r="C91" s="147">
        <f>IFERROR(__xludf.DUMMYFUNCTION("""COMPUTED_VALUE"""),2809586.0)</f>
        <v>2809586</v>
      </c>
      <c r="D91" s="150" t="str">
        <f>IFERROR(__xludf.DUMMYFUNCTION("""COMPUTED_VALUE"""),"Access 2019: Building Dashboards for Excel")</f>
        <v>Access 2019: Building Dashboards for Excel</v>
      </c>
      <c r="E91" s="147" t="str">
        <f>IFERROR(__xludf.DUMMYFUNCTION("""COMPUTED_VALUE"""),"General")</f>
        <v>General</v>
      </c>
      <c r="F91" s="141" t="str">
        <f>IFERROR(__xludf.DUMMYFUNCTION("""COMPUTED_VALUE"""),"Intermediate")</f>
        <v>Intermediate</v>
      </c>
      <c r="G91" s="143">
        <f>IFERROR(__xludf.DUMMYFUNCTION("""COMPUTED_VALUE"""),0.07494212962962964)</f>
        <v>0.07494212963</v>
      </c>
      <c r="H91" s="151"/>
      <c r="I91" s="140"/>
      <c r="J91" s="140"/>
      <c r="K91" s="140"/>
      <c r="L91" s="147"/>
      <c r="M91" s="159"/>
      <c r="N91" s="147"/>
      <c r="O91" s="141"/>
      <c r="P91" s="143"/>
      <c r="Q91" s="151"/>
      <c r="R91" s="140"/>
      <c r="S91" s="140"/>
    </row>
    <row r="92" ht="33.75" customHeight="1">
      <c r="A92" s="140"/>
      <c r="B92" s="140"/>
      <c r="C92" s="147">
        <f>IFERROR(__xludf.DUMMYFUNCTION("""COMPUTED_VALUE"""),2809587.0)</f>
        <v>2809587</v>
      </c>
      <c r="D92" s="150" t="str">
        <f>IFERROR(__xludf.DUMMYFUNCTION("""COMPUTED_VALUE"""),"Learning SAP SD (Sales and Distribution)")</f>
        <v>Learning SAP SD (Sales and Distribution)</v>
      </c>
      <c r="E92" s="147" t="str">
        <f>IFERROR(__xludf.DUMMYFUNCTION("""COMPUTED_VALUE"""),"General")</f>
        <v>General</v>
      </c>
      <c r="F92" s="141" t="str">
        <f>IFERROR(__xludf.DUMMYFUNCTION("""COMPUTED_VALUE"""),"Intermediate")</f>
        <v>Intermediate</v>
      </c>
      <c r="G92" s="143">
        <f>IFERROR(__xludf.DUMMYFUNCTION("""COMPUTED_VALUE"""),0.05579861111111111)</f>
        <v>0.05579861111</v>
      </c>
      <c r="H92" s="151"/>
      <c r="I92" s="140"/>
      <c r="J92" s="140"/>
      <c r="K92" s="140"/>
      <c r="L92" s="147"/>
      <c r="M92" s="159"/>
      <c r="N92" s="147"/>
      <c r="O92" s="141"/>
      <c r="P92" s="143"/>
      <c r="Q92" s="151"/>
      <c r="R92" s="140"/>
      <c r="S92" s="140"/>
    </row>
    <row r="93" ht="33.75" customHeight="1">
      <c r="A93" s="140"/>
      <c r="B93" s="140"/>
      <c r="C93" s="147">
        <f>IFERROR(__xludf.DUMMYFUNCTION("""COMPUTED_VALUE"""),782130.0)</f>
        <v>782130</v>
      </c>
      <c r="D93" s="150" t="str">
        <f>IFERROR(__xludf.DUMMYFUNCTION("""COMPUTED_VALUE"""),"Scaling Applications with Microsoft Azure")</f>
        <v>Scaling Applications with Microsoft Azure</v>
      </c>
      <c r="E93" s="147" t="str">
        <f>IFERROR(__xludf.DUMMYFUNCTION("""COMPUTED_VALUE"""),"General")</f>
        <v>General</v>
      </c>
      <c r="F93" s="141" t="str">
        <f>IFERROR(__xludf.DUMMYFUNCTION("""COMPUTED_VALUE"""),"Intermediate")</f>
        <v>Intermediate</v>
      </c>
      <c r="G93" s="143">
        <f>IFERROR(__xludf.DUMMYFUNCTION("""COMPUTED_VALUE"""),0.06299768518518518)</f>
        <v>0.06299768519</v>
      </c>
      <c r="H93" s="151"/>
      <c r="I93" s="140"/>
      <c r="J93" s="140"/>
      <c r="K93" s="140"/>
      <c r="L93" s="147"/>
      <c r="M93" s="159"/>
      <c r="N93" s="147"/>
      <c r="O93" s="141"/>
      <c r="P93" s="143"/>
      <c r="Q93" s="151"/>
      <c r="R93" s="140"/>
      <c r="S93" s="140"/>
    </row>
    <row r="94" ht="33.75" customHeight="1">
      <c r="A94" s="140"/>
      <c r="B94" s="140"/>
      <c r="C94" s="147">
        <f>IFERROR(__xludf.DUMMYFUNCTION("""COMPUTED_VALUE"""),2853006.0)</f>
        <v>2853006</v>
      </c>
      <c r="D94" s="150" t="str">
        <f>IFERROR(__xludf.DUMMYFUNCTION("""COMPUTED_VALUE"""),"PowerPoint: Eight Easy Ways to Make Your Presentation Stand Out")</f>
        <v>PowerPoint: Eight Easy Ways to Make Your Presentation Stand Out</v>
      </c>
      <c r="E94" s="147" t="str">
        <f>IFERROR(__xludf.DUMMYFUNCTION("""COMPUTED_VALUE"""),"General")</f>
        <v>General</v>
      </c>
      <c r="F94" s="141" t="str">
        <f>IFERROR(__xludf.DUMMYFUNCTION("""COMPUTED_VALUE"""),"Intermediate")</f>
        <v>Intermediate</v>
      </c>
      <c r="G94" s="143">
        <f>IFERROR(__xludf.DUMMYFUNCTION("""COMPUTED_VALUE"""),0.025590277777777778)</f>
        <v>0.02559027778</v>
      </c>
      <c r="H94" s="151"/>
      <c r="I94" s="140"/>
      <c r="J94" s="140"/>
      <c r="K94" s="140"/>
      <c r="L94" s="147"/>
      <c r="M94" s="159"/>
      <c r="N94" s="147"/>
      <c r="O94" s="141"/>
      <c r="P94" s="143"/>
      <c r="Q94" s="151"/>
      <c r="R94" s="140"/>
      <c r="S94" s="140"/>
    </row>
    <row r="95" ht="33.75" customHeight="1">
      <c r="A95" s="140"/>
      <c r="B95" s="140"/>
      <c r="C95" s="147">
        <f>IFERROR(__xludf.DUMMYFUNCTION("""COMPUTED_VALUE"""),2814070.0)</f>
        <v>2814070</v>
      </c>
      <c r="D95" s="150" t="str">
        <f>IFERROR(__xludf.DUMMYFUNCTION("""COMPUTED_VALUE"""),"Applied AI for Human Resources")</f>
        <v>Applied AI for Human Resources</v>
      </c>
      <c r="E95" s="147" t="str">
        <f>IFERROR(__xludf.DUMMYFUNCTION("""COMPUTED_VALUE"""),"General")</f>
        <v>General</v>
      </c>
      <c r="F95" s="141" t="str">
        <f>IFERROR(__xludf.DUMMYFUNCTION("""COMPUTED_VALUE"""),"Intermediate")</f>
        <v>Intermediate</v>
      </c>
      <c r="G95" s="143">
        <f>IFERROR(__xludf.DUMMYFUNCTION("""COMPUTED_VALUE"""),0.04417824074074074)</f>
        <v>0.04417824074</v>
      </c>
      <c r="H95" s="151"/>
      <c r="I95" s="140"/>
      <c r="J95" s="140"/>
      <c r="K95" s="140"/>
      <c r="L95" s="147"/>
      <c r="M95" s="159"/>
      <c r="N95" s="147"/>
      <c r="O95" s="141"/>
      <c r="P95" s="143"/>
      <c r="Q95" s="151"/>
      <c r="R95" s="140"/>
      <c r="S95" s="140"/>
    </row>
    <row r="96" ht="33.75" customHeight="1">
      <c r="A96" s="140"/>
      <c r="B96" s="140"/>
      <c r="C96" s="147">
        <f>IFERROR(__xludf.DUMMYFUNCTION("""COMPUTED_VALUE"""),2849034.0)</f>
        <v>2849034</v>
      </c>
      <c r="D96" s="150" t="str">
        <f>IFERROR(__xludf.DUMMYFUNCTION("""COMPUTED_VALUE"""),"Using Microsoft Teams and Outlook Together: Maximizing Productivity")</f>
        <v>Using Microsoft Teams and Outlook Together: Maximizing Productivity</v>
      </c>
      <c r="E96" s="147" t="str">
        <f>IFERROR(__xludf.DUMMYFUNCTION("""COMPUTED_VALUE"""),"General")</f>
        <v>General</v>
      </c>
      <c r="F96" s="141" t="str">
        <f>IFERROR(__xludf.DUMMYFUNCTION("""COMPUTED_VALUE"""),"Intermediate")</f>
        <v>Intermediate</v>
      </c>
      <c r="G96" s="143">
        <f>IFERROR(__xludf.DUMMYFUNCTION("""COMPUTED_VALUE"""),0.034166666666666665)</f>
        <v>0.03416666667</v>
      </c>
      <c r="H96" s="151"/>
      <c r="I96" s="140"/>
      <c r="J96" s="140"/>
      <c r="K96" s="140"/>
      <c r="L96" s="147"/>
      <c r="M96" s="159"/>
      <c r="N96" s="147"/>
      <c r="O96" s="141"/>
      <c r="P96" s="143"/>
      <c r="Q96" s="151"/>
      <c r="R96" s="140"/>
      <c r="S96" s="140"/>
    </row>
    <row r="97" ht="33.75" customHeight="1">
      <c r="A97" s="140"/>
      <c r="B97" s="140"/>
      <c r="C97" s="147">
        <f>IFERROR(__xludf.DUMMYFUNCTION("""COMPUTED_VALUE"""),2814069.0)</f>
        <v>2814069</v>
      </c>
      <c r="D97" s="150" t="str">
        <f>IFERROR(__xludf.DUMMYFUNCTION("""COMPUTED_VALUE"""),"Applied AI for IT Operations")</f>
        <v>Applied AI for IT Operations</v>
      </c>
      <c r="E97" s="147" t="str">
        <f>IFERROR(__xludf.DUMMYFUNCTION("""COMPUTED_VALUE"""),"General")</f>
        <v>General</v>
      </c>
      <c r="F97" s="141" t="str">
        <f>IFERROR(__xludf.DUMMYFUNCTION("""COMPUTED_VALUE"""),"Intermediate")</f>
        <v>Intermediate</v>
      </c>
      <c r="G97" s="143">
        <f>IFERROR(__xludf.DUMMYFUNCTION("""COMPUTED_VALUE"""),0.05243055555555556)</f>
        <v>0.05243055556</v>
      </c>
      <c r="H97" s="151"/>
      <c r="I97" s="140"/>
      <c r="J97" s="140"/>
      <c r="K97" s="140"/>
      <c r="L97" s="147"/>
      <c r="M97" s="159"/>
      <c r="N97" s="147"/>
      <c r="O97" s="141"/>
      <c r="P97" s="143"/>
      <c r="Q97" s="151"/>
      <c r="R97" s="140"/>
      <c r="S97" s="140"/>
    </row>
    <row r="98" ht="33.75" customHeight="1">
      <c r="A98" s="140"/>
      <c r="B98" s="140"/>
      <c r="C98" s="147">
        <f>IFERROR(__xludf.DUMMYFUNCTION("""COMPUTED_VALUE"""),731739.0)</f>
        <v>731739</v>
      </c>
      <c r="D98" s="150" t="str">
        <f>IFERROR(__xludf.DUMMYFUNCTION("""COMPUTED_VALUE"""),"Manage Apps with Configuration Manager")</f>
        <v>Manage Apps with Configuration Manager</v>
      </c>
      <c r="E98" s="147" t="str">
        <f>IFERROR(__xludf.DUMMYFUNCTION("""COMPUTED_VALUE"""),"General")</f>
        <v>General</v>
      </c>
      <c r="F98" s="141" t="str">
        <f>IFERROR(__xludf.DUMMYFUNCTION("""COMPUTED_VALUE"""),"Intermediate")</f>
        <v>Intermediate</v>
      </c>
      <c r="G98" s="143">
        <f>IFERROR(__xludf.DUMMYFUNCTION("""COMPUTED_VALUE"""),0.04429398148148148)</f>
        <v>0.04429398148</v>
      </c>
      <c r="H98" s="151"/>
      <c r="I98" s="140"/>
      <c r="J98" s="140"/>
      <c r="K98" s="140"/>
      <c r="L98" s="147"/>
      <c r="M98" s="159"/>
      <c r="N98" s="147"/>
      <c r="O98" s="141"/>
      <c r="P98" s="143"/>
      <c r="Q98" s="151"/>
      <c r="R98" s="140"/>
      <c r="S98" s="140"/>
    </row>
    <row r="99" ht="33.75" customHeight="1">
      <c r="A99" s="140"/>
      <c r="B99" s="140"/>
      <c r="C99" s="147">
        <f>IFERROR(__xludf.DUMMYFUNCTION("""COMPUTED_VALUE"""),645057.0)</f>
        <v>645057</v>
      </c>
      <c r="D99" s="150" t="str">
        <f>IFERROR(__xludf.DUMMYFUNCTION("""COMPUTED_VALUE"""),"SSCP Cert Prep: 7 Systems and Application Security")</f>
        <v>SSCP Cert Prep: 7 Systems and Application Security</v>
      </c>
      <c r="E99" s="147" t="str">
        <f>IFERROR(__xludf.DUMMYFUNCTION("""COMPUTED_VALUE"""),"General")</f>
        <v>General</v>
      </c>
      <c r="F99" s="141" t="str">
        <f>IFERROR(__xludf.DUMMYFUNCTION("""COMPUTED_VALUE"""),"Intermediate")</f>
        <v>Intermediate</v>
      </c>
      <c r="G99" s="143">
        <f>IFERROR(__xludf.DUMMYFUNCTION("""COMPUTED_VALUE"""),0.12690972222222222)</f>
        <v>0.1269097222</v>
      </c>
      <c r="H99" s="151"/>
      <c r="I99" s="140"/>
      <c r="J99" s="140"/>
      <c r="K99" s="140"/>
      <c r="L99" s="147"/>
      <c r="M99" s="159"/>
      <c r="N99" s="147"/>
      <c r="O99" s="141"/>
      <c r="P99" s="143"/>
      <c r="Q99" s="151"/>
      <c r="R99" s="140"/>
      <c r="S99" s="140"/>
    </row>
    <row r="100" ht="33.75" customHeight="1">
      <c r="A100" s="140"/>
      <c r="B100" s="140"/>
      <c r="C100" s="147">
        <f>IFERROR(__xludf.DUMMYFUNCTION("""COMPUTED_VALUE"""),751334.0)</f>
        <v>751334</v>
      </c>
      <c r="D100" s="150" t="str">
        <f>IFERROR(__xludf.DUMMYFUNCTION("""COMPUTED_VALUE"""),"API Testing Foundations")</f>
        <v>API Testing Foundations</v>
      </c>
      <c r="E100" s="147" t="str">
        <f>IFERROR(__xludf.DUMMYFUNCTION("""COMPUTED_VALUE"""),"General")</f>
        <v>General</v>
      </c>
      <c r="F100" s="141" t="str">
        <f>IFERROR(__xludf.DUMMYFUNCTION("""COMPUTED_VALUE"""),"Intermediate")</f>
        <v>Intermediate</v>
      </c>
      <c r="G100" s="143">
        <f>IFERROR(__xludf.DUMMYFUNCTION("""COMPUTED_VALUE"""),0.07280092592592592)</f>
        <v>0.07280092593</v>
      </c>
      <c r="H100" s="151"/>
      <c r="I100" s="140"/>
      <c r="J100" s="140"/>
      <c r="K100" s="140"/>
      <c r="L100" s="147"/>
      <c r="M100" s="159"/>
      <c r="N100" s="147"/>
      <c r="O100" s="141"/>
      <c r="P100" s="143"/>
      <c r="Q100" s="151"/>
      <c r="R100" s="140"/>
      <c r="S100" s="140"/>
    </row>
    <row r="101" ht="33.75" customHeight="1">
      <c r="A101" s="140"/>
      <c r="B101" s="140"/>
      <c r="C101" s="147">
        <f>IFERROR(__xludf.DUMMYFUNCTION("""COMPUTED_VALUE"""),5016717.0)</f>
        <v>5016717</v>
      </c>
      <c r="D101" s="150" t="str">
        <f>IFERROR(__xludf.DUMMYFUNCTION("""COMPUTED_VALUE"""),"Software Testing: Exploratory Testing")</f>
        <v>Software Testing: Exploratory Testing</v>
      </c>
      <c r="E101" s="147" t="str">
        <f>IFERROR(__xludf.DUMMYFUNCTION("""COMPUTED_VALUE"""),"General")</f>
        <v>General</v>
      </c>
      <c r="F101" s="141" t="str">
        <f>IFERROR(__xludf.DUMMYFUNCTION("""COMPUTED_VALUE"""),"Intermediate")</f>
        <v>Intermediate</v>
      </c>
      <c r="G101" s="143">
        <f>IFERROR(__xludf.DUMMYFUNCTION("""COMPUTED_VALUE"""),0.07354166666666667)</f>
        <v>0.07354166667</v>
      </c>
      <c r="H101" s="151"/>
      <c r="I101" s="140"/>
      <c r="J101" s="140"/>
      <c r="K101" s="140"/>
      <c r="L101" s="147"/>
      <c r="M101" s="159"/>
      <c r="N101" s="147"/>
      <c r="O101" s="141"/>
      <c r="P101" s="143"/>
      <c r="Q101" s="151"/>
      <c r="R101" s="140"/>
      <c r="S101" s="140"/>
    </row>
    <row r="102" ht="33.75" customHeight="1">
      <c r="A102" s="140"/>
      <c r="B102" s="140"/>
      <c r="C102" s="147">
        <f>IFERROR(__xludf.DUMMYFUNCTION("""COMPUTED_VALUE"""),651196.0)</f>
        <v>651196</v>
      </c>
      <c r="D102" s="150" t="str">
        <f>IFERROR(__xludf.DUMMYFUNCTION("""COMPUTED_VALUE"""),"Python Automation and Testing")</f>
        <v>Python Automation and Testing</v>
      </c>
      <c r="E102" s="147" t="str">
        <f>IFERROR(__xludf.DUMMYFUNCTION("""COMPUTED_VALUE"""),"General")</f>
        <v>General</v>
      </c>
      <c r="F102" s="141" t="str">
        <f>IFERROR(__xludf.DUMMYFUNCTION("""COMPUTED_VALUE"""),"Intermediate")</f>
        <v>Intermediate</v>
      </c>
      <c r="G102" s="143">
        <f>IFERROR(__xludf.DUMMYFUNCTION("""COMPUTED_VALUE"""),0.06048611111111111)</f>
        <v>0.06048611111</v>
      </c>
      <c r="H102" s="151"/>
      <c r="I102" s="140"/>
      <c r="J102" s="140"/>
      <c r="K102" s="140"/>
      <c r="L102" s="147"/>
      <c r="M102" s="159"/>
      <c r="N102" s="147"/>
      <c r="O102" s="141"/>
      <c r="P102" s="143"/>
      <c r="Q102" s="151"/>
      <c r="R102" s="140"/>
      <c r="S102" s="140"/>
    </row>
    <row r="103" ht="33.75" customHeight="1">
      <c r="A103" s="140"/>
      <c r="B103" s="140"/>
      <c r="C103" s="147">
        <f>IFERROR(__xludf.DUMMYFUNCTION("""COMPUTED_VALUE"""),713394.0)</f>
        <v>713394</v>
      </c>
      <c r="D103" s="150" t="str">
        <f>IFERROR(__xludf.DUMMYFUNCTION("""COMPUTED_VALUE"""),"Jenkins Essential Training")</f>
        <v>Jenkins Essential Training</v>
      </c>
      <c r="E103" s="147" t="str">
        <f>IFERROR(__xludf.DUMMYFUNCTION("""COMPUTED_VALUE"""),"General")</f>
        <v>General</v>
      </c>
      <c r="F103" s="141" t="str">
        <f>IFERROR(__xludf.DUMMYFUNCTION("""COMPUTED_VALUE"""),"Intermediate")</f>
        <v>Intermediate</v>
      </c>
      <c r="G103" s="143">
        <f>IFERROR(__xludf.DUMMYFUNCTION("""COMPUTED_VALUE"""),0.10319444444444445)</f>
        <v>0.1031944444</v>
      </c>
      <c r="H103" s="151"/>
      <c r="I103" s="140"/>
      <c r="J103" s="140"/>
      <c r="K103" s="140"/>
      <c r="L103" s="147"/>
      <c r="M103" s="159"/>
      <c r="N103" s="147"/>
      <c r="O103" s="141"/>
      <c r="P103" s="143"/>
      <c r="Q103" s="151"/>
      <c r="R103" s="140"/>
      <c r="S103" s="140"/>
    </row>
    <row r="104" ht="33.75" customHeight="1">
      <c r="A104" s="140"/>
      <c r="B104" s="140"/>
      <c r="C104" s="147">
        <f>IFERROR(__xludf.DUMMYFUNCTION("""COMPUTED_VALUE"""),802866.0)</f>
        <v>802866</v>
      </c>
      <c r="D104" s="150" t="str">
        <f>IFERROR(__xludf.DUMMYFUNCTION("""COMPUTED_VALUE"""),"AWS: Automation and Optimization")</f>
        <v>AWS: Automation and Optimization</v>
      </c>
      <c r="E104" s="147" t="str">
        <f>IFERROR(__xludf.DUMMYFUNCTION("""COMPUTED_VALUE"""),"General")</f>
        <v>General</v>
      </c>
      <c r="F104" s="141" t="str">
        <f>IFERROR(__xludf.DUMMYFUNCTION("""COMPUTED_VALUE"""),"Intermediate")</f>
        <v>Intermediate</v>
      </c>
      <c r="G104" s="143">
        <f>IFERROR(__xludf.DUMMYFUNCTION("""COMPUTED_VALUE"""),0.09023148148148148)</f>
        <v>0.09023148148</v>
      </c>
      <c r="H104" s="151"/>
      <c r="I104" s="140"/>
      <c r="J104" s="140"/>
      <c r="K104" s="140"/>
      <c r="L104" s="147"/>
      <c r="M104" s="159"/>
      <c r="N104" s="147"/>
      <c r="O104" s="141"/>
      <c r="P104" s="143"/>
      <c r="Q104" s="151"/>
      <c r="R104" s="140"/>
      <c r="S104" s="140"/>
    </row>
    <row r="105" ht="33.75" customHeight="1">
      <c r="A105" s="140"/>
      <c r="B105" s="140"/>
      <c r="C105" s="147">
        <f>IFERROR(__xludf.DUMMYFUNCTION("""COMPUTED_VALUE"""),791360.0)</f>
        <v>791360</v>
      </c>
      <c r="D105" s="150" t="str">
        <f>IFERROR(__xludf.DUMMYFUNCTION("""COMPUTED_VALUE"""),"API Test Automation with SoapUI")</f>
        <v>API Test Automation with SoapUI</v>
      </c>
      <c r="E105" s="147" t="str">
        <f>IFERROR(__xludf.DUMMYFUNCTION("""COMPUTED_VALUE"""),"General")</f>
        <v>General</v>
      </c>
      <c r="F105" s="141" t="str">
        <f>IFERROR(__xludf.DUMMYFUNCTION("""COMPUTED_VALUE"""),"Intermediate")</f>
        <v>Intermediate</v>
      </c>
      <c r="G105" s="143">
        <f>IFERROR(__xludf.DUMMYFUNCTION("""COMPUTED_VALUE"""),0.07833333333333334)</f>
        <v>0.07833333333</v>
      </c>
      <c r="H105" s="151"/>
      <c r="I105" s="140"/>
      <c r="J105" s="140"/>
      <c r="K105" s="140"/>
      <c r="L105" s="147"/>
      <c r="M105" s="159"/>
      <c r="N105" s="147"/>
      <c r="O105" s="141"/>
      <c r="P105" s="143"/>
      <c r="Q105" s="151"/>
      <c r="R105" s="140"/>
      <c r="S105" s="140"/>
    </row>
    <row r="106" ht="33.75" customHeight="1">
      <c r="A106" s="140"/>
      <c r="B106" s="140"/>
      <c r="C106" s="147">
        <f>IFERROR(__xludf.DUMMYFUNCTION("""COMPUTED_VALUE"""),667384.0)</f>
        <v>667384</v>
      </c>
      <c r="D106" s="150" t="str">
        <f>IFERROR(__xludf.DUMMYFUNCTION("""COMPUTED_VALUE"""),"Cisco Network Security: Secure Routing and Switching")</f>
        <v>Cisco Network Security: Secure Routing and Switching</v>
      </c>
      <c r="E106" s="147" t="str">
        <f>IFERROR(__xludf.DUMMYFUNCTION("""COMPUTED_VALUE"""),"General")</f>
        <v>General</v>
      </c>
      <c r="F106" s="141" t="str">
        <f>IFERROR(__xludf.DUMMYFUNCTION("""COMPUTED_VALUE"""),"Intermediate")</f>
        <v>Intermediate</v>
      </c>
      <c r="G106" s="143">
        <f>IFERROR(__xludf.DUMMYFUNCTION("""COMPUTED_VALUE"""),0.056365740740740744)</f>
        <v>0.05636574074</v>
      </c>
      <c r="H106" s="151"/>
      <c r="I106" s="140"/>
      <c r="J106" s="140"/>
      <c r="K106" s="140"/>
      <c r="L106" s="147"/>
      <c r="M106" s="159"/>
      <c r="N106" s="147"/>
      <c r="O106" s="141"/>
      <c r="P106" s="143"/>
      <c r="Q106" s="151"/>
      <c r="R106" s="140"/>
      <c r="S106" s="140"/>
    </row>
    <row r="107" ht="33.75" customHeight="1">
      <c r="A107" s="140"/>
      <c r="B107" s="140"/>
      <c r="C107" s="147">
        <f>IFERROR(__xludf.DUMMYFUNCTION("""COMPUTED_VALUE"""),731741.0)</f>
        <v>731741</v>
      </c>
      <c r="D107" s="150" t="str">
        <f>IFERROR(__xludf.DUMMYFUNCTION("""COMPUTED_VALUE"""),"Configuration Manager: Configure and Maintain a Management Infrastructure")</f>
        <v>Configuration Manager: Configure and Maintain a Management Infrastructure</v>
      </c>
      <c r="E107" s="147" t="str">
        <f>IFERROR(__xludf.DUMMYFUNCTION("""COMPUTED_VALUE"""),"General")</f>
        <v>General</v>
      </c>
      <c r="F107" s="141" t="str">
        <f>IFERROR(__xludf.DUMMYFUNCTION("""COMPUTED_VALUE"""),"Intermediate")</f>
        <v>Intermediate</v>
      </c>
      <c r="G107" s="143">
        <f>IFERROR(__xludf.DUMMYFUNCTION("""COMPUTED_VALUE"""),0.06775462962962962)</f>
        <v>0.06775462963</v>
      </c>
      <c r="H107" s="151"/>
      <c r="I107" s="140"/>
      <c r="J107" s="140"/>
      <c r="K107" s="140"/>
      <c r="L107" s="147"/>
      <c r="M107" s="159"/>
      <c r="N107" s="147"/>
      <c r="O107" s="141"/>
      <c r="P107" s="143"/>
      <c r="Q107" s="151"/>
      <c r="R107" s="140"/>
      <c r="S107" s="140"/>
    </row>
    <row r="108" ht="33.75" customHeight="1">
      <c r="A108" s="140"/>
      <c r="B108" s="140"/>
      <c r="C108" s="147">
        <f>IFERROR(__xludf.DUMMYFUNCTION("""COMPUTED_VALUE"""),753910.0)</f>
        <v>753910</v>
      </c>
      <c r="D108" s="150" t="str">
        <f>IFERROR(__xludf.DUMMYFUNCTION("""COMPUTED_VALUE"""),"Network Virtualization: SDN Overlay Solutions")</f>
        <v>Network Virtualization: SDN Overlay Solutions</v>
      </c>
      <c r="E108" s="147" t="str">
        <f>IFERROR(__xludf.DUMMYFUNCTION("""COMPUTED_VALUE"""),"General")</f>
        <v>General</v>
      </c>
      <c r="F108" s="141" t="str">
        <f>IFERROR(__xludf.DUMMYFUNCTION("""COMPUTED_VALUE"""),"Intermediate")</f>
        <v>Intermediate</v>
      </c>
      <c r="G108" s="143">
        <f>IFERROR(__xludf.DUMMYFUNCTION("""COMPUTED_VALUE"""),0.06539351851851852)</f>
        <v>0.06539351852</v>
      </c>
      <c r="H108" s="151"/>
      <c r="I108" s="140"/>
      <c r="J108" s="140"/>
      <c r="K108" s="140"/>
      <c r="L108" s="147"/>
      <c r="M108" s="159"/>
      <c r="N108" s="147"/>
      <c r="O108" s="141"/>
      <c r="P108" s="143"/>
      <c r="Q108" s="151"/>
      <c r="R108" s="140"/>
      <c r="S108" s="140"/>
    </row>
    <row r="109" ht="33.75" customHeight="1">
      <c r="A109" s="140"/>
      <c r="B109" s="140"/>
      <c r="C109" s="147">
        <f>IFERROR(__xludf.DUMMYFUNCTION("""COMPUTED_VALUE"""),782139.0)</f>
        <v>782139</v>
      </c>
      <c r="D109" s="150" t="str">
        <f>IFERROR(__xludf.DUMMYFUNCTION("""COMPUTED_VALUE"""),"Azure Administration: Manage Subscriptions and Resources")</f>
        <v>Azure Administration: Manage Subscriptions and Resources</v>
      </c>
      <c r="E109" s="147" t="str">
        <f>IFERROR(__xludf.DUMMYFUNCTION("""COMPUTED_VALUE"""),"General")</f>
        <v>General</v>
      </c>
      <c r="F109" s="141" t="str">
        <f>IFERROR(__xludf.DUMMYFUNCTION("""COMPUTED_VALUE"""),"Intermediate")</f>
        <v>Intermediate</v>
      </c>
      <c r="G109" s="143">
        <f>IFERROR(__xludf.DUMMYFUNCTION("""COMPUTED_VALUE"""),0.0762037037037037)</f>
        <v>0.0762037037</v>
      </c>
      <c r="H109" s="151"/>
      <c r="I109" s="140"/>
      <c r="J109" s="140"/>
      <c r="K109" s="140"/>
      <c r="L109" s="147"/>
      <c r="M109" s="159"/>
      <c r="N109" s="147"/>
      <c r="O109" s="141"/>
      <c r="P109" s="143"/>
      <c r="Q109" s="151"/>
      <c r="R109" s="140"/>
      <c r="S109" s="140"/>
    </row>
    <row r="110" ht="33.75" customHeight="1">
      <c r="A110" s="140"/>
      <c r="B110" s="140"/>
      <c r="C110" s="147">
        <f>IFERROR(__xludf.DUMMYFUNCTION("""COMPUTED_VALUE"""),5019808.0)</f>
        <v>5019808</v>
      </c>
      <c r="D110" s="150" t="str">
        <f>IFERROR(__xludf.DUMMYFUNCTION("""COMPUTED_VALUE"""),"Azure Administration: Deploy and Manage Virtual Machines")</f>
        <v>Azure Administration: Deploy and Manage Virtual Machines</v>
      </c>
      <c r="E110" s="147" t="str">
        <f>IFERROR(__xludf.DUMMYFUNCTION("""COMPUTED_VALUE"""),"General")</f>
        <v>General</v>
      </c>
      <c r="F110" s="141" t="str">
        <f>IFERROR(__xludf.DUMMYFUNCTION("""COMPUTED_VALUE"""),"Intermediate")</f>
        <v>Intermediate</v>
      </c>
      <c r="G110" s="143">
        <f>IFERROR(__xludf.DUMMYFUNCTION("""COMPUTED_VALUE"""),0.08498842592592593)</f>
        <v>0.08498842593</v>
      </c>
      <c r="H110" s="151"/>
      <c r="I110" s="140"/>
      <c r="J110" s="140"/>
      <c r="K110" s="140"/>
      <c r="L110" s="147"/>
      <c r="M110" s="159"/>
      <c r="N110" s="147"/>
      <c r="O110" s="141"/>
      <c r="P110" s="143"/>
      <c r="Q110" s="151"/>
      <c r="R110" s="140"/>
      <c r="S110" s="140"/>
    </row>
    <row r="111" ht="33.75" customHeight="1">
      <c r="A111" s="140"/>
      <c r="B111" s="140"/>
      <c r="C111" s="147">
        <f>IFERROR(__xludf.DUMMYFUNCTION("""COMPUTED_VALUE"""),786421.0)</f>
        <v>786421</v>
      </c>
      <c r="D111" s="150" t="str">
        <f>IFERROR(__xludf.DUMMYFUNCTION("""COMPUTED_VALUE"""),"Text Analytics and Predictions with Python Essential Training")</f>
        <v>Text Analytics and Predictions with Python Essential Training</v>
      </c>
      <c r="E111" s="147" t="str">
        <f>IFERROR(__xludf.DUMMYFUNCTION("""COMPUTED_VALUE"""),"General")</f>
        <v>General</v>
      </c>
      <c r="F111" s="141" t="str">
        <f>IFERROR(__xludf.DUMMYFUNCTION("""COMPUTED_VALUE"""),"Intermediate")</f>
        <v>Intermediate</v>
      </c>
      <c r="G111" s="143">
        <f>IFERROR(__xludf.DUMMYFUNCTION("""COMPUTED_VALUE"""),0.024675925925925928)</f>
        <v>0.02467592593</v>
      </c>
      <c r="H111" s="151"/>
      <c r="I111" s="140"/>
      <c r="J111" s="140"/>
      <c r="K111" s="140"/>
      <c r="L111" s="147"/>
      <c r="M111" s="159"/>
      <c r="N111" s="147"/>
      <c r="O111" s="141"/>
      <c r="P111" s="143"/>
      <c r="Q111" s="151"/>
      <c r="R111" s="140"/>
      <c r="S111" s="140"/>
    </row>
    <row r="112" ht="33.75" customHeight="1">
      <c r="A112" s="140"/>
      <c r="B112" s="140"/>
      <c r="C112" s="147">
        <f>IFERROR(__xludf.DUMMYFUNCTION("""COMPUTED_VALUE"""),765326.0)</f>
        <v>765326</v>
      </c>
      <c r="D112" s="150" t="str">
        <f>IFERROR(__xludf.DUMMYFUNCTION("""COMPUTED_VALUE"""),"AI Accountability Essential Training")</f>
        <v>AI Accountability Essential Training</v>
      </c>
      <c r="E112" s="147" t="str">
        <f>IFERROR(__xludf.DUMMYFUNCTION("""COMPUTED_VALUE"""),"General")</f>
        <v>General</v>
      </c>
      <c r="F112" s="141" t="str">
        <f>IFERROR(__xludf.DUMMYFUNCTION("""COMPUTED_VALUE"""),"Intermediate")</f>
        <v>Intermediate</v>
      </c>
      <c r="G112" s="143">
        <f>IFERROR(__xludf.DUMMYFUNCTION("""COMPUTED_VALUE"""),0.09848379629629629)</f>
        <v>0.0984837963</v>
      </c>
      <c r="H112" s="151"/>
      <c r="I112" s="140"/>
      <c r="J112" s="140"/>
      <c r="K112" s="140"/>
      <c r="L112" s="147"/>
      <c r="M112" s="159"/>
      <c r="N112" s="147"/>
      <c r="O112" s="141"/>
      <c r="P112" s="143"/>
      <c r="Q112" s="151"/>
      <c r="R112" s="140"/>
      <c r="S112" s="140"/>
    </row>
    <row r="113" ht="33.75" customHeight="1">
      <c r="A113" s="140"/>
      <c r="B113" s="140"/>
      <c r="C113" s="147">
        <f>IFERROR(__xludf.DUMMYFUNCTION("""COMPUTED_VALUE"""),628707.0)</f>
        <v>628707</v>
      </c>
      <c r="D113" s="150" t="str">
        <f>IFERROR(__xludf.DUMMYFUNCTION("""COMPUTED_VALUE"""),"Deep Learning: Image Recognition")</f>
        <v>Deep Learning: Image Recognition</v>
      </c>
      <c r="E113" s="147" t="str">
        <f>IFERROR(__xludf.DUMMYFUNCTION("""COMPUTED_VALUE"""),"General")</f>
        <v>General</v>
      </c>
      <c r="F113" s="141" t="str">
        <f>IFERROR(__xludf.DUMMYFUNCTION("""COMPUTED_VALUE"""),"Intermediate")</f>
        <v>Intermediate</v>
      </c>
      <c r="G113" s="143">
        <f>IFERROR(__xludf.DUMMYFUNCTION("""COMPUTED_VALUE"""),0.07211805555555556)</f>
        <v>0.07211805556</v>
      </c>
      <c r="H113" s="151"/>
      <c r="I113" s="140"/>
      <c r="J113" s="140"/>
      <c r="K113" s="140"/>
      <c r="L113" s="147"/>
      <c r="M113" s="159"/>
      <c r="N113" s="147"/>
      <c r="O113" s="141"/>
      <c r="P113" s="143"/>
      <c r="Q113" s="151"/>
      <c r="R113" s="140"/>
      <c r="S113" s="140"/>
    </row>
    <row r="114" ht="33.75" customHeight="1">
      <c r="A114" s="140"/>
      <c r="B114" s="140"/>
      <c r="C114" s="147">
        <f>IFERROR(__xludf.DUMMYFUNCTION("""COMPUTED_VALUE"""),628706.0)</f>
        <v>628706</v>
      </c>
      <c r="D114" s="150" t="str">
        <f>IFERROR(__xludf.DUMMYFUNCTION("""COMPUTED_VALUE"""),"Deep Learning: Face Recognition")</f>
        <v>Deep Learning: Face Recognition</v>
      </c>
      <c r="E114" s="147" t="str">
        <f>IFERROR(__xludf.DUMMYFUNCTION("""COMPUTED_VALUE"""),"General")</f>
        <v>General</v>
      </c>
      <c r="F114" s="141" t="str">
        <f>IFERROR(__xludf.DUMMYFUNCTION("""COMPUTED_VALUE"""),"Intermediate")</f>
        <v>Intermediate</v>
      </c>
      <c r="G114" s="143">
        <f>IFERROR(__xludf.DUMMYFUNCTION("""COMPUTED_VALUE"""),0.059583333333333335)</f>
        <v>0.05958333333</v>
      </c>
      <c r="H114" s="151"/>
      <c r="I114" s="140"/>
      <c r="J114" s="140"/>
      <c r="K114" s="140"/>
      <c r="L114" s="147"/>
      <c r="M114" s="159"/>
      <c r="N114" s="147"/>
      <c r="O114" s="141"/>
      <c r="P114" s="143"/>
      <c r="Q114" s="151"/>
      <c r="R114" s="140"/>
      <c r="S114" s="140"/>
    </row>
    <row r="115" ht="33.75" customHeight="1">
      <c r="A115" s="140"/>
      <c r="B115" s="140"/>
      <c r="C115" s="147">
        <f>IFERROR(__xludf.DUMMYFUNCTION("""COMPUTED_VALUE"""),5022347.0)</f>
        <v>5022347</v>
      </c>
      <c r="D115" s="150" t="str">
        <f>IFERROR(__xludf.DUMMYFUNCTION("""COMPUTED_VALUE"""),"Algorithmic Trading and Finance Models with Python, R, and Stata Essential Training")</f>
        <v>Algorithmic Trading and Finance Models with Python, R, and Stata Essential Training</v>
      </c>
      <c r="E115" s="147" t="str">
        <f>IFERROR(__xludf.DUMMYFUNCTION("""COMPUTED_VALUE"""),"General")</f>
        <v>General</v>
      </c>
      <c r="F115" s="141" t="str">
        <f>IFERROR(__xludf.DUMMYFUNCTION("""COMPUTED_VALUE"""),"Intermediate")</f>
        <v>Intermediate</v>
      </c>
      <c r="G115" s="143">
        <f>IFERROR(__xludf.DUMMYFUNCTION("""COMPUTED_VALUE"""),0.08908564814814815)</f>
        <v>0.08908564815</v>
      </c>
      <c r="H115" s="151"/>
      <c r="I115" s="140"/>
      <c r="J115" s="140"/>
      <c r="K115" s="140"/>
      <c r="L115" s="147"/>
      <c r="M115" s="159"/>
      <c r="N115" s="147"/>
      <c r="O115" s="141"/>
      <c r="P115" s="143"/>
      <c r="Q115" s="151"/>
      <c r="R115" s="140"/>
      <c r="S115" s="140"/>
    </row>
    <row r="116" ht="33.75" customHeight="1">
      <c r="A116" s="140"/>
      <c r="B116" s="140"/>
      <c r="C116" s="147">
        <f>IFERROR(__xludf.DUMMYFUNCTION("""COMPUTED_VALUE"""),5040395.0)</f>
        <v>5040395</v>
      </c>
      <c r="D116" s="150" t="str">
        <f>IFERROR(__xludf.DUMMYFUNCTION("""COMPUTED_VALUE"""),"Power BI Data Modeling with DAX")</f>
        <v>Power BI Data Modeling with DAX</v>
      </c>
      <c r="E116" s="147" t="str">
        <f>IFERROR(__xludf.DUMMYFUNCTION("""COMPUTED_VALUE"""),"General")</f>
        <v>General</v>
      </c>
      <c r="F116" s="141" t="str">
        <f>IFERROR(__xludf.DUMMYFUNCTION("""COMPUTED_VALUE"""),"Intermediate")</f>
        <v>Intermediate</v>
      </c>
      <c r="G116" s="143">
        <f>IFERROR(__xludf.DUMMYFUNCTION("""COMPUTED_VALUE"""),0.04645833333333333)</f>
        <v>0.04645833333</v>
      </c>
      <c r="H116" s="151"/>
      <c r="I116" s="140"/>
      <c r="J116" s="140"/>
      <c r="K116" s="140"/>
      <c r="L116" s="147"/>
      <c r="M116" s="159"/>
      <c r="N116" s="147"/>
      <c r="O116" s="141"/>
      <c r="P116" s="143"/>
      <c r="Q116" s="151"/>
      <c r="R116" s="140"/>
      <c r="S116" s="140"/>
    </row>
    <row r="117" ht="33.75" customHeight="1">
      <c r="A117" s="140"/>
      <c r="B117" s="140"/>
      <c r="C117" s="147">
        <f>IFERROR(__xludf.DUMMYFUNCTION("""COMPUTED_VALUE"""),2824427.0)</f>
        <v>2824427</v>
      </c>
      <c r="D117" s="150" t="str">
        <f>IFERROR(__xludf.DUMMYFUNCTION("""COMPUTED_VALUE"""),"Artificial Intelligence: How Project Managers Can Leverage AI")</f>
        <v>Artificial Intelligence: How Project Managers Can Leverage AI</v>
      </c>
      <c r="E117" s="147" t="str">
        <f>IFERROR(__xludf.DUMMYFUNCTION("""COMPUTED_VALUE"""),"General")</f>
        <v>General</v>
      </c>
      <c r="F117" s="141" t="str">
        <f>IFERROR(__xludf.DUMMYFUNCTION("""COMPUTED_VALUE"""),"Intermediate")</f>
        <v>Intermediate</v>
      </c>
      <c r="G117" s="143">
        <f>IFERROR(__xludf.DUMMYFUNCTION("""COMPUTED_VALUE"""),0.03350694444444444)</f>
        <v>0.03350694444</v>
      </c>
      <c r="H117" s="151"/>
      <c r="I117" s="140"/>
      <c r="J117" s="140"/>
      <c r="K117" s="140"/>
      <c r="L117" s="147"/>
      <c r="M117" s="159"/>
      <c r="N117" s="147"/>
      <c r="O117" s="141"/>
      <c r="P117" s="143"/>
      <c r="Q117" s="151"/>
      <c r="R117" s="140"/>
      <c r="S117" s="140"/>
    </row>
    <row r="118" ht="33.75" customHeight="1">
      <c r="A118" s="140"/>
      <c r="B118" s="140"/>
      <c r="C118" s="147">
        <f>IFERROR(__xludf.DUMMYFUNCTION("""COMPUTED_VALUE"""),704144.0)</f>
        <v>704144</v>
      </c>
      <c r="D118" s="150" t="str">
        <f>IFERROR(__xludf.DUMMYFUNCTION("""COMPUTED_VALUE"""),"Machine Learning for Marketing: Essential Training")</f>
        <v>Machine Learning for Marketing: Essential Training</v>
      </c>
      <c r="E118" s="147" t="str">
        <f>IFERROR(__xludf.DUMMYFUNCTION("""COMPUTED_VALUE"""),"General")</f>
        <v>General</v>
      </c>
      <c r="F118" s="141" t="str">
        <f>IFERROR(__xludf.DUMMYFUNCTION("""COMPUTED_VALUE"""),"Intermediate")</f>
        <v>Intermediate</v>
      </c>
      <c r="G118" s="143">
        <f>IFERROR(__xludf.DUMMYFUNCTION("""COMPUTED_VALUE"""),0.03881944444444444)</f>
        <v>0.03881944444</v>
      </c>
      <c r="H118" s="151"/>
      <c r="I118" s="140"/>
      <c r="J118" s="140"/>
      <c r="K118" s="140"/>
      <c r="L118" s="147"/>
      <c r="M118" s="159"/>
      <c r="N118" s="147"/>
      <c r="O118" s="141"/>
      <c r="P118" s="143"/>
      <c r="Q118" s="151"/>
      <c r="R118" s="140"/>
      <c r="S118" s="140"/>
    </row>
    <row r="119" ht="33.75" customHeight="1">
      <c r="A119" s="140"/>
      <c r="B119" s="140"/>
      <c r="C119" s="147">
        <f>IFERROR(__xludf.DUMMYFUNCTION("""COMPUTED_VALUE"""),2828008.0)</f>
        <v>2828008</v>
      </c>
      <c r="D119" s="150" t="str">
        <f>IFERROR(__xludf.DUMMYFUNCTION("""COMPUTED_VALUE"""),"Microsoft Teams: Successful Meetings and Events")</f>
        <v>Microsoft Teams: Successful Meetings and Events</v>
      </c>
      <c r="E119" s="147" t="str">
        <f>IFERROR(__xludf.DUMMYFUNCTION("""COMPUTED_VALUE"""),"General")</f>
        <v>General</v>
      </c>
      <c r="F119" s="141" t="str">
        <f>IFERROR(__xludf.DUMMYFUNCTION("""COMPUTED_VALUE"""),"Intermediate")</f>
        <v>Intermediate</v>
      </c>
      <c r="G119" s="143">
        <f>IFERROR(__xludf.DUMMYFUNCTION("""COMPUTED_VALUE"""),0.09913194444444444)</f>
        <v>0.09913194444</v>
      </c>
      <c r="H119" s="151"/>
      <c r="I119" s="140"/>
      <c r="J119" s="140"/>
      <c r="K119" s="140"/>
      <c r="L119" s="147"/>
      <c r="M119" s="159"/>
      <c r="N119" s="147"/>
      <c r="O119" s="141"/>
      <c r="P119" s="143"/>
      <c r="Q119" s="151"/>
      <c r="R119" s="140"/>
      <c r="S119" s="140"/>
    </row>
    <row r="120" ht="33.75" customHeight="1">
      <c r="A120" s="140"/>
      <c r="B120" s="140"/>
      <c r="C120" s="147">
        <f>IFERROR(__xludf.DUMMYFUNCTION("""COMPUTED_VALUE"""),2878184.0)</f>
        <v>2878184</v>
      </c>
      <c r="D120" s="150" t="str">
        <f>IFERROR(__xludf.DUMMYFUNCTION("""COMPUTED_VALUE"""),"QuickBooks Online Tips and Tricks")</f>
        <v>QuickBooks Online Tips and Tricks</v>
      </c>
      <c r="E120" s="147" t="str">
        <f>IFERROR(__xludf.DUMMYFUNCTION("""COMPUTED_VALUE"""),"General")</f>
        <v>General</v>
      </c>
      <c r="F120" s="141" t="str">
        <f>IFERROR(__xludf.DUMMYFUNCTION("""COMPUTED_VALUE"""),"Intermediate")</f>
        <v>Intermediate</v>
      </c>
      <c r="G120" s="143">
        <f>IFERROR(__xludf.DUMMYFUNCTION("""COMPUTED_VALUE"""),0.056851851851851855)</f>
        <v>0.05685185185</v>
      </c>
      <c r="H120" s="151"/>
      <c r="I120" s="140"/>
      <c r="J120" s="140"/>
      <c r="K120" s="140"/>
      <c r="L120" s="147"/>
      <c r="M120" s="159"/>
      <c r="N120" s="147"/>
      <c r="O120" s="141"/>
      <c r="P120" s="143"/>
      <c r="Q120" s="151"/>
      <c r="R120" s="140"/>
      <c r="S120" s="140"/>
    </row>
    <row r="121" ht="33.75" customHeight="1">
      <c r="A121" s="140"/>
      <c r="B121" s="140"/>
      <c r="C121" s="147">
        <f>IFERROR(__xludf.DUMMYFUNCTION("""COMPUTED_VALUE"""),2881150.0)</f>
        <v>2881150</v>
      </c>
      <c r="D121" s="150" t="str">
        <f>IFERROR(__xludf.DUMMYFUNCTION("""COMPUTED_VALUE"""),"Running Microsoft 365 Live Events: Teams, Yammer, and Stream")</f>
        <v>Running Microsoft 365 Live Events: Teams, Yammer, and Stream</v>
      </c>
      <c r="E121" s="147" t="str">
        <f>IFERROR(__xludf.DUMMYFUNCTION("""COMPUTED_VALUE"""),"General")</f>
        <v>General</v>
      </c>
      <c r="F121" s="141" t="str">
        <f>IFERROR(__xludf.DUMMYFUNCTION("""COMPUTED_VALUE"""),"Intermediate")</f>
        <v>Intermediate</v>
      </c>
      <c r="G121" s="143">
        <f>IFERROR(__xludf.DUMMYFUNCTION("""COMPUTED_VALUE"""),0.05358796296296296)</f>
        <v>0.05358796296</v>
      </c>
      <c r="H121" s="151"/>
      <c r="I121" s="140"/>
      <c r="J121" s="140"/>
      <c r="K121" s="140"/>
      <c r="L121" s="147"/>
      <c r="M121" s="159"/>
      <c r="N121" s="147"/>
      <c r="O121" s="141"/>
      <c r="P121" s="143"/>
      <c r="Q121" s="151"/>
      <c r="R121" s="140"/>
      <c r="S121" s="140"/>
    </row>
    <row r="122" ht="33.75" customHeight="1">
      <c r="A122" s="140"/>
      <c r="B122" s="140"/>
      <c r="C122" s="147">
        <f>IFERROR(__xludf.DUMMYFUNCTION("""COMPUTED_VALUE"""),2886048.0)</f>
        <v>2886048</v>
      </c>
      <c r="D122" s="150" t="str">
        <f>IFERROR(__xludf.DUMMYFUNCTION("""COMPUTED_VALUE"""),"Excel for Mac: Advanced Formulas and Functions (365/2019)")</f>
        <v>Excel for Mac: Advanced Formulas and Functions (365/2019)</v>
      </c>
      <c r="E122" s="147" t="str">
        <f>IFERROR(__xludf.DUMMYFUNCTION("""COMPUTED_VALUE"""),"General")</f>
        <v>General</v>
      </c>
      <c r="F122" s="141" t="str">
        <f>IFERROR(__xludf.DUMMYFUNCTION("""COMPUTED_VALUE"""),"Intermediate")</f>
        <v>Intermediate</v>
      </c>
      <c r="G122" s="143">
        <f>IFERROR(__xludf.DUMMYFUNCTION("""COMPUTED_VALUE"""),0.09599537037037037)</f>
        <v>0.09599537037</v>
      </c>
      <c r="H122" s="151"/>
      <c r="I122" s="140"/>
      <c r="J122" s="140"/>
      <c r="K122" s="140"/>
      <c r="L122" s="147"/>
      <c r="M122" s="159"/>
      <c r="N122" s="147"/>
      <c r="O122" s="141"/>
      <c r="P122" s="143"/>
      <c r="Q122" s="151"/>
      <c r="R122" s="140"/>
      <c r="S122" s="140"/>
    </row>
    <row r="123" ht="33.75" customHeight="1">
      <c r="A123" s="140"/>
      <c r="B123" s="140"/>
      <c r="C123" s="147">
        <f>IFERROR(__xludf.DUMMYFUNCTION("""COMPUTED_VALUE"""),2880138.0)</f>
        <v>2880138</v>
      </c>
      <c r="D123" s="150" t="str">
        <f>IFERROR(__xludf.DUMMYFUNCTION("""COMPUTED_VALUE"""),"Excel for Banking Professionals")</f>
        <v>Excel for Banking Professionals</v>
      </c>
      <c r="E123" s="147" t="str">
        <f>IFERROR(__xludf.DUMMYFUNCTION("""COMPUTED_VALUE"""),"General")</f>
        <v>General</v>
      </c>
      <c r="F123" s="141" t="str">
        <f>IFERROR(__xludf.DUMMYFUNCTION("""COMPUTED_VALUE"""),"Intermediate")</f>
        <v>Intermediate</v>
      </c>
      <c r="G123" s="143">
        <f>IFERROR(__xludf.DUMMYFUNCTION("""COMPUTED_VALUE"""),0.07435185185185185)</f>
        <v>0.07435185185</v>
      </c>
      <c r="H123" s="151"/>
      <c r="I123" s="140"/>
      <c r="J123" s="140"/>
      <c r="K123" s="140"/>
      <c r="L123" s="147"/>
      <c r="M123" s="159"/>
      <c r="N123" s="147"/>
      <c r="O123" s="141"/>
      <c r="P123" s="143"/>
      <c r="Q123" s="151"/>
      <c r="R123" s="140"/>
      <c r="S123" s="140"/>
    </row>
    <row r="124" ht="33.75" customHeight="1">
      <c r="A124" s="140"/>
      <c r="B124" s="140"/>
      <c r="C124" s="147">
        <f>IFERROR(__xludf.DUMMYFUNCTION("""COMPUTED_VALUE"""),751330.0)</f>
        <v>751330</v>
      </c>
      <c r="D124" s="150" t="str">
        <f>IFERROR(__xludf.DUMMYFUNCTION("""COMPUTED_VALUE"""),"Penetration Testing: Advanced Web Testing")</f>
        <v>Penetration Testing: Advanced Web Testing</v>
      </c>
      <c r="E124" s="147" t="str">
        <f>IFERROR(__xludf.DUMMYFUNCTION("""COMPUTED_VALUE"""),"General")</f>
        <v>General</v>
      </c>
      <c r="F124" s="141" t="str">
        <f>IFERROR(__xludf.DUMMYFUNCTION("""COMPUTED_VALUE"""),"Advanced")</f>
        <v>Advanced</v>
      </c>
      <c r="G124" s="143">
        <f>IFERROR(__xludf.DUMMYFUNCTION("""COMPUTED_VALUE"""),0.11252314814814815)</f>
        <v>0.1125231481</v>
      </c>
      <c r="H124" s="151"/>
      <c r="I124" s="140"/>
      <c r="J124" s="140"/>
      <c r="K124" s="140"/>
      <c r="L124" s="147"/>
      <c r="M124" s="159"/>
      <c r="N124" s="147"/>
      <c r="O124" s="141"/>
      <c r="P124" s="143"/>
      <c r="Q124" s="151"/>
      <c r="R124" s="140"/>
      <c r="S124" s="140"/>
    </row>
    <row r="125" ht="33.75" customHeight="1">
      <c r="A125" s="140"/>
      <c r="B125" s="140"/>
      <c r="C125" s="147">
        <f>IFERROR(__xludf.DUMMYFUNCTION("""COMPUTED_VALUE"""),2822405.0)</f>
        <v>2822405</v>
      </c>
      <c r="D125" s="150" t="str">
        <f>IFERROR(__xludf.DUMMYFUNCTION("""COMPUTED_VALUE"""),"Advanced NLP with Python for Machine Learning")</f>
        <v>Advanced NLP with Python for Machine Learning</v>
      </c>
      <c r="E125" s="147" t="str">
        <f>IFERROR(__xludf.DUMMYFUNCTION("""COMPUTED_VALUE"""),"General")</f>
        <v>General</v>
      </c>
      <c r="F125" s="141" t="str">
        <f>IFERROR(__xludf.DUMMYFUNCTION("""COMPUTED_VALUE"""),"Advanced")</f>
        <v>Advanced</v>
      </c>
      <c r="G125" s="143">
        <f>IFERROR(__xludf.DUMMYFUNCTION("""COMPUTED_VALUE"""),0.0934837962962963)</f>
        <v>0.0934837963</v>
      </c>
      <c r="H125" s="151"/>
      <c r="I125" s="140"/>
      <c r="J125" s="140"/>
      <c r="K125" s="140"/>
      <c r="L125" s="147"/>
      <c r="M125" s="159"/>
      <c r="N125" s="147"/>
      <c r="O125" s="141"/>
      <c r="P125" s="143"/>
      <c r="Q125" s="151"/>
      <c r="R125" s="140"/>
      <c r="S125" s="140"/>
    </row>
    <row r="126" ht="33.75" customHeight="1">
      <c r="A126" s="140"/>
      <c r="B126" s="140"/>
      <c r="C126" s="147">
        <f>IFERROR(__xludf.DUMMYFUNCTION("""COMPUTED_VALUE"""),2834021.0)</f>
        <v>2834021</v>
      </c>
      <c r="D126" s="150" t="str">
        <f>IFERROR(__xludf.DUMMYFUNCTION("""COMPUTED_VALUE"""),"Microsoft Power Apps: AI Builder")</f>
        <v>Microsoft Power Apps: AI Builder</v>
      </c>
      <c r="E126" s="147" t="str">
        <f>IFERROR(__xludf.DUMMYFUNCTION("""COMPUTED_VALUE"""),"General")</f>
        <v>General</v>
      </c>
      <c r="F126" s="141" t="str">
        <f>IFERROR(__xludf.DUMMYFUNCTION("""COMPUTED_VALUE"""),"Advanced")</f>
        <v>Advanced</v>
      </c>
      <c r="G126" s="143">
        <f>IFERROR(__xludf.DUMMYFUNCTION("""COMPUTED_VALUE"""),0.05327546296296296)</f>
        <v>0.05327546296</v>
      </c>
      <c r="H126" s="151"/>
      <c r="I126" s="140"/>
      <c r="J126" s="140"/>
      <c r="K126" s="140"/>
      <c r="L126" s="147"/>
      <c r="M126" s="159"/>
      <c r="N126" s="147"/>
      <c r="O126" s="141"/>
      <c r="P126" s="143"/>
      <c r="Q126" s="151"/>
      <c r="R126" s="140"/>
      <c r="S126" s="140"/>
    </row>
    <row r="127" ht="33.75" customHeight="1">
      <c r="A127" s="140"/>
      <c r="B127" s="140"/>
      <c r="C127" s="147">
        <f>IFERROR(__xludf.DUMMYFUNCTION("""COMPUTED_VALUE"""),3008694.0)</f>
        <v>3008694</v>
      </c>
      <c r="D127" s="150" t="str">
        <f>IFERROR(__xludf.DUMMYFUNCTION("""COMPUTED_VALUE"""),"Giving Computers Vision")</f>
        <v>Giving Computers Vision</v>
      </c>
      <c r="E127" s="147" t="str">
        <f>IFERROR(__xludf.DUMMYFUNCTION("""COMPUTED_VALUE"""),"General")</f>
        <v>General</v>
      </c>
      <c r="F127" s="141" t="str">
        <f>IFERROR(__xludf.DUMMYFUNCTION("""COMPUTED_VALUE"""),"General")</f>
        <v>General</v>
      </c>
      <c r="G127" s="143">
        <f>IFERROR(__xludf.DUMMYFUNCTION("""COMPUTED_VALUE"""),0.06495370370370371)</f>
        <v>0.0649537037</v>
      </c>
      <c r="H127" s="151"/>
      <c r="I127" s="140"/>
      <c r="J127" s="140"/>
      <c r="K127" s="140"/>
      <c r="L127" s="147"/>
      <c r="M127" s="159"/>
      <c r="N127" s="147"/>
      <c r="O127" s="141"/>
      <c r="P127" s="143"/>
      <c r="Q127" s="151"/>
      <c r="R127" s="140"/>
      <c r="S127" s="140"/>
    </row>
    <row r="128" ht="33.75" customHeight="1">
      <c r="A128" s="140"/>
      <c r="B128" s="140"/>
      <c r="C128" s="147">
        <f>IFERROR(__xludf.DUMMYFUNCTION("""COMPUTED_VALUE"""),3157769.0)</f>
        <v>3157769</v>
      </c>
      <c r="D128" s="150" t="str">
        <f>IFERROR(__xludf.DUMMYFUNCTION("""COMPUTED_VALUE"""),"Evil by Design: Persuasion in UX")</f>
        <v>Evil by Design: Persuasion in UX</v>
      </c>
      <c r="E128" s="147" t="str">
        <f>IFERROR(__xludf.DUMMYFUNCTION("""COMPUTED_VALUE"""),"General")</f>
        <v>General</v>
      </c>
      <c r="F128" s="141" t="str">
        <f>IFERROR(__xludf.DUMMYFUNCTION("""COMPUTED_VALUE"""),"General")</f>
        <v>General</v>
      </c>
      <c r="G128" s="143">
        <f>IFERROR(__xludf.DUMMYFUNCTION("""COMPUTED_VALUE"""),0.16159722222222223)</f>
        <v>0.1615972222</v>
      </c>
      <c r="H128" s="151"/>
      <c r="I128" s="140"/>
      <c r="J128" s="140"/>
      <c r="K128" s="140"/>
      <c r="L128" s="147"/>
      <c r="M128" s="159"/>
      <c r="N128" s="147"/>
      <c r="O128" s="141"/>
      <c r="P128" s="143"/>
      <c r="Q128" s="151"/>
      <c r="R128" s="140"/>
      <c r="S128" s="140"/>
    </row>
    <row r="129" ht="33.75" customHeight="1">
      <c r="A129" s="140"/>
      <c r="B129" s="140"/>
      <c r="C129" s="147">
        <f>IFERROR(__xludf.DUMMYFUNCTION("""COMPUTED_VALUE"""),3107157.0)</f>
        <v>3107157</v>
      </c>
      <c r="D129" s="150" t="str">
        <f>IFERROR(__xludf.DUMMYFUNCTION("""COMPUTED_VALUE"""),"First Look: Python 3.9")</f>
        <v>First Look: Python 3.9</v>
      </c>
      <c r="E129" s="147" t="str">
        <f>IFERROR(__xludf.DUMMYFUNCTION("""COMPUTED_VALUE"""),"General")</f>
        <v>General</v>
      </c>
      <c r="F129" s="141" t="str">
        <f>IFERROR(__xludf.DUMMYFUNCTION("""COMPUTED_VALUE"""),"General")</f>
        <v>General</v>
      </c>
      <c r="G129" s="143">
        <f>IFERROR(__xludf.DUMMYFUNCTION("""COMPUTED_VALUE"""),0.01835648148148148)</f>
        <v>0.01835648148</v>
      </c>
      <c r="H129" s="151"/>
      <c r="I129" s="140"/>
      <c r="J129" s="140"/>
      <c r="K129" s="140"/>
      <c r="L129" s="147"/>
      <c r="M129" s="159"/>
      <c r="N129" s="147"/>
      <c r="O129" s="141"/>
      <c r="P129" s="143"/>
      <c r="Q129" s="151"/>
      <c r="R129" s="140"/>
      <c r="S129" s="140"/>
    </row>
    <row r="130" ht="33.75" customHeight="1">
      <c r="A130" s="140"/>
      <c r="B130" s="140"/>
      <c r="C130" s="147">
        <f>IFERROR(__xludf.DUMMYFUNCTION("""COMPUTED_VALUE"""),2891048.0)</f>
        <v>2891048</v>
      </c>
      <c r="D130" s="150" t="str">
        <f>IFERROR(__xludf.DUMMYFUNCTION("""COMPUTED_VALUE"""),"Agile Development in the New World of Work")</f>
        <v>Agile Development in the New World of Work</v>
      </c>
      <c r="E130" s="147" t="str">
        <f>IFERROR(__xludf.DUMMYFUNCTION("""COMPUTED_VALUE"""),"General")</f>
        <v>General</v>
      </c>
      <c r="F130" s="141" t="str">
        <f>IFERROR(__xludf.DUMMYFUNCTION("""COMPUTED_VALUE"""),"General")</f>
        <v>General</v>
      </c>
      <c r="G130" s="143">
        <f>IFERROR(__xludf.DUMMYFUNCTION("""COMPUTED_VALUE"""),0.01775462962962963)</f>
        <v>0.01775462963</v>
      </c>
      <c r="H130" s="151"/>
      <c r="I130" s="140"/>
      <c r="J130" s="140"/>
      <c r="K130" s="140"/>
      <c r="L130" s="147"/>
      <c r="M130" s="159"/>
      <c r="N130" s="147"/>
      <c r="O130" s="141"/>
      <c r="P130" s="143"/>
      <c r="Q130" s="151"/>
      <c r="R130" s="140"/>
      <c r="S130" s="140"/>
    </row>
    <row r="131" ht="33.75" customHeight="1">
      <c r="A131" s="140"/>
      <c r="B131" s="140"/>
      <c r="C131" s="147">
        <f>IFERROR(__xludf.DUMMYFUNCTION("""COMPUTED_VALUE"""),2884096.0)</f>
        <v>2884096</v>
      </c>
      <c r="D131" s="150" t="str">
        <f>IFERROR(__xludf.DUMMYFUNCTION("""COMPUTED_VALUE"""),"Microsoft 365: Choose the Right Tool for the Job")</f>
        <v>Microsoft 365: Choose the Right Tool for the Job</v>
      </c>
      <c r="E131" s="147" t="str">
        <f>IFERROR(__xludf.DUMMYFUNCTION("""COMPUTED_VALUE"""),"General")</f>
        <v>General</v>
      </c>
      <c r="F131" s="141" t="str">
        <f>IFERROR(__xludf.DUMMYFUNCTION("""COMPUTED_VALUE"""),"General")</f>
        <v>General</v>
      </c>
      <c r="G131" s="143">
        <f>IFERROR(__xludf.DUMMYFUNCTION("""COMPUTED_VALUE"""),0.025636574074074076)</f>
        <v>0.02563657407</v>
      </c>
      <c r="H131" s="151"/>
      <c r="I131" s="140"/>
      <c r="J131" s="140"/>
      <c r="K131" s="140"/>
      <c r="L131" s="147"/>
      <c r="M131" s="159"/>
      <c r="N131" s="147"/>
      <c r="O131" s="141"/>
      <c r="P131" s="143"/>
      <c r="Q131" s="151"/>
      <c r="R131" s="140"/>
      <c r="S131" s="140"/>
    </row>
    <row r="132" ht="33.75" customHeight="1">
      <c r="A132" s="140"/>
      <c r="B132" s="140"/>
      <c r="C132" s="147">
        <f>IFERROR(__xludf.DUMMYFUNCTION("""COMPUTED_VALUE"""),2898245.0)</f>
        <v>2898245</v>
      </c>
      <c r="D132" s="150" t="str">
        <f>IFERROR(__xludf.DUMMYFUNCTION("""COMPUTED_VALUE"""),"Trending Tools")</f>
        <v>Trending Tools</v>
      </c>
      <c r="E132" s="147" t="str">
        <f>IFERROR(__xludf.DUMMYFUNCTION("""COMPUTED_VALUE"""),"General")</f>
        <v>General</v>
      </c>
      <c r="F132" s="141" t="str">
        <f>IFERROR(__xludf.DUMMYFUNCTION("""COMPUTED_VALUE"""),"General")</f>
        <v>General</v>
      </c>
      <c r="G132" s="143">
        <f>IFERROR(__xludf.DUMMYFUNCTION("""COMPUTED_VALUE"""),0.02068287037037037)</f>
        <v>0.02068287037</v>
      </c>
      <c r="H132" s="151"/>
      <c r="I132" s="140"/>
      <c r="J132" s="140"/>
      <c r="K132" s="140"/>
      <c r="L132" s="147"/>
      <c r="M132" s="159"/>
      <c r="N132" s="147"/>
      <c r="O132" s="141"/>
      <c r="P132" s="143"/>
      <c r="Q132" s="151"/>
      <c r="R132" s="140"/>
      <c r="S132" s="140"/>
    </row>
    <row r="133" ht="33.75" customHeight="1">
      <c r="A133" s="140"/>
      <c r="B133" s="140"/>
      <c r="C133" s="147"/>
      <c r="D133" s="159"/>
      <c r="E133" s="147"/>
      <c r="F133" s="141"/>
      <c r="G133" s="143"/>
      <c r="H133" s="151"/>
      <c r="I133" s="140"/>
      <c r="J133" s="140"/>
      <c r="K133" s="140"/>
      <c r="L133" s="147"/>
      <c r="M133" s="159"/>
      <c r="N133" s="147"/>
      <c r="O133" s="141"/>
      <c r="P133" s="143"/>
      <c r="Q133" s="151"/>
      <c r="R133" s="140"/>
      <c r="S133" s="140"/>
    </row>
    <row r="134" ht="33.75" customHeight="1">
      <c r="A134" s="140"/>
      <c r="B134" s="140"/>
      <c r="C134" s="147"/>
      <c r="D134" s="159"/>
      <c r="E134" s="147"/>
      <c r="F134" s="141"/>
      <c r="G134" s="143"/>
      <c r="H134" s="151"/>
      <c r="I134" s="140"/>
      <c r="J134" s="140"/>
      <c r="K134" s="140"/>
      <c r="L134" s="147"/>
      <c r="M134" s="159"/>
      <c r="N134" s="147"/>
      <c r="O134" s="141"/>
      <c r="P134" s="143"/>
      <c r="Q134" s="151"/>
      <c r="R134" s="140"/>
      <c r="S134" s="140"/>
    </row>
    <row r="135" ht="33.75" customHeight="1">
      <c r="A135" s="140"/>
      <c r="B135" s="140"/>
      <c r="C135" s="147"/>
      <c r="D135" s="159"/>
      <c r="E135" s="147"/>
      <c r="F135" s="141"/>
      <c r="G135" s="143"/>
      <c r="H135" s="151"/>
      <c r="I135" s="140"/>
      <c r="J135" s="140"/>
      <c r="K135" s="140"/>
      <c r="L135" s="147"/>
      <c r="M135" s="159"/>
      <c r="N135" s="147"/>
      <c r="O135" s="141"/>
      <c r="P135" s="143"/>
      <c r="Q135" s="151"/>
      <c r="R135" s="140"/>
      <c r="S135" s="140"/>
    </row>
    <row r="136" ht="33.75" customHeight="1">
      <c r="A136" s="140"/>
      <c r="B136" s="140"/>
      <c r="C136" s="147"/>
      <c r="D136" s="159"/>
      <c r="E136" s="147"/>
      <c r="F136" s="141"/>
      <c r="G136" s="143"/>
      <c r="H136" s="151"/>
      <c r="I136" s="140"/>
      <c r="J136" s="140"/>
      <c r="K136" s="140"/>
      <c r="L136" s="147"/>
      <c r="M136" s="159"/>
      <c r="N136" s="147"/>
      <c r="O136" s="141"/>
      <c r="P136" s="143"/>
      <c r="Q136" s="151"/>
      <c r="R136" s="140"/>
      <c r="S136" s="140"/>
    </row>
    <row r="137" ht="33.75" customHeight="1">
      <c r="A137" s="140"/>
      <c r="B137" s="140"/>
      <c r="C137" s="147"/>
      <c r="D137" s="159"/>
      <c r="E137" s="147"/>
      <c r="F137" s="141"/>
      <c r="G137" s="143"/>
      <c r="H137" s="151"/>
      <c r="I137" s="140"/>
      <c r="J137" s="140"/>
      <c r="K137" s="140"/>
      <c r="L137" s="147"/>
      <c r="M137" s="159"/>
      <c r="N137" s="147"/>
      <c r="O137" s="141"/>
      <c r="P137" s="143"/>
      <c r="Q137" s="151"/>
      <c r="R137" s="140"/>
      <c r="S137" s="140"/>
    </row>
    <row r="138" ht="33.75" customHeight="1">
      <c r="A138" s="140"/>
      <c r="B138" s="140"/>
      <c r="C138" s="147"/>
      <c r="D138" s="159"/>
      <c r="E138" s="147"/>
      <c r="F138" s="141"/>
      <c r="G138" s="143"/>
      <c r="H138" s="151"/>
      <c r="I138" s="140"/>
      <c r="J138" s="140"/>
      <c r="K138" s="140"/>
      <c r="L138" s="147"/>
      <c r="M138" s="159"/>
      <c r="N138" s="147"/>
      <c r="O138" s="141"/>
      <c r="P138" s="143"/>
      <c r="Q138" s="151"/>
      <c r="R138" s="140"/>
      <c r="S138" s="140"/>
    </row>
    <row r="139" ht="33.75" customHeight="1">
      <c r="A139" s="140"/>
      <c r="B139" s="140"/>
      <c r="C139" s="147"/>
      <c r="D139" s="159"/>
      <c r="E139" s="147"/>
      <c r="F139" s="141"/>
      <c r="G139" s="143"/>
      <c r="H139" s="151"/>
      <c r="I139" s="140"/>
      <c r="J139" s="140"/>
      <c r="K139" s="140"/>
      <c r="L139" s="147"/>
      <c r="M139" s="159"/>
      <c r="N139" s="147"/>
      <c r="O139" s="141"/>
      <c r="P139" s="143"/>
      <c r="Q139" s="151"/>
      <c r="R139" s="140"/>
      <c r="S139" s="140"/>
    </row>
    <row r="140" ht="33.75" customHeight="1">
      <c r="A140" s="140"/>
      <c r="B140" s="140"/>
      <c r="C140" s="147"/>
      <c r="D140" s="159"/>
      <c r="E140" s="147"/>
      <c r="F140" s="141"/>
      <c r="G140" s="143"/>
      <c r="H140" s="151"/>
      <c r="I140" s="140"/>
      <c r="J140" s="140"/>
      <c r="K140" s="140"/>
      <c r="L140" s="147"/>
      <c r="M140" s="159"/>
      <c r="N140" s="147"/>
      <c r="O140" s="141"/>
      <c r="P140" s="143"/>
      <c r="Q140" s="151"/>
      <c r="R140" s="140"/>
      <c r="S140" s="140"/>
    </row>
    <row r="141" ht="33.75" customHeight="1">
      <c r="A141" s="140"/>
      <c r="B141" s="140"/>
      <c r="C141" s="147"/>
      <c r="D141" s="159"/>
      <c r="E141" s="147"/>
      <c r="F141" s="141"/>
      <c r="G141" s="143"/>
      <c r="H141" s="151"/>
      <c r="I141" s="140"/>
      <c r="J141" s="140"/>
      <c r="K141" s="140"/>
      <c r="L141" s="147"/>
      <c r="M141" s="159"/>
      <c r="N141" s="147"/>
      <c r="O141" s="141"/>
      <c r="P141" s="143"/>
      <c r="Q141" s="151"/>
      <c r="R141" s="140"/>
      <c r="S141" s="140"/>
    </row>
    <row r="142" ht="33.75" customHeight="1">
      <c r="A142" s="140"/>
      <c r="B142" s="140"/>
      <c r="C142" s="147"/>
      <c r="D142" s="159"/>
      <c r="E142" s="147"/>
      <c r="F142" s="141"/>
      <c r="G142" s="143"/>
      <c r="H142" s="151"/>
      <c r="I142" s="140"/>
      <c r="J142" s="140"/>
      <c r="K142" s="140"/>
      <c r="L142" s="147"/>
      <c r="M142" s="159"/>
      <c r="N142" s="147"/>
      <c r="O142" s="141"/>
      <c r="P142" s="143"/>
      <c r="Q142" s="151"/>
      <c r="R142" s="140"/>
      <c r="S142" s="140"/>
    </row>
    <row r="143" ht="33.75" customHeight="1">
      <c r="A143" s="140"/>
      <c r="B143" s="140"/>
      <c r="C143" s="147"/>
      <c r="D143" s="159"/>
      <c r="E143" s="147"/>
      <c r="F143" s="141"/>
      <c r="G143" s="143"/>
      <c r="H143" s="151"/>
      <c r="I143" s="140"/>
      <c r="J143" s="140"/>
      <c r="K143" s="140"/>
      <c r="L143" s="147"/>
      <c r="M143" s="159"/>
      <c r="N143" s="147"/>
      <c r="O143" s="141"/>
      <c r="P143" s="143"/>
      <c r="Q143" s="151"/>
      <c r="R143" s="140"/>
      <c r="S143" s="140"/>
    </row>
    <row r="144" ht="33.75" customHeight="1">
      <c r="A144" s="140"/>
      <c r="B144" s="140"/>
      <c r="C144" s="147"/>
      <c r="D144" s="159"/>
      <c r="E144" s="147"/>
      <c r="F144" s="141"/>
      <c r="G144" s="143"/>
      <c r="H144" s="151"/>
      <c r="I144" s="140"/>
      <c r="J144" s="140"/>
      <c r="K144" s="140"/>
      <c r="L144" s="147"/>
      <c r="M144" s="159"/>
      <c r="N144" s="147"/>
      <c r="O144" s="141"/>
      <c r="P144" s="143"/>
      <c r="Q144" s="151"/>
      <c r="R144" s="140"/>
      <c r="S144" s="140"/>
    </row>
    <row r="145" ht="33.75" customHeight="1">
      <c r="A145" s="140"/>
      <c r="B145" s="140"/>
      <c r="C145" s="147"/>
      <c r="D145" s="159"/>
      <c r="E145" s="147"/>
      <c r="F145" s="141"/>
      <c r="G145" s="143"/>
      <c r="H145" s="151"/>
      <c r="I145" s="140"/>
      <c r="J145" s="140"/>
      <c r="K145" s="140"/>
      <c r="L145" s="147"/>
      <c r="M145" s="159"/>
      <c r="N145" s="147"/>
      <c r="O145" s="141"/>
      <c r="P145" s="143"/>
      <c r="Q145" s="151"/>
      <c r="R145" s="140"/>
      <c r="S145" s="140"/>
    </row>
    <row r="146" ht="33.75" customHeight="1">
      <c r="A146" s="140"/>
      <c r="B146" s="140"/>
      <c r="C146" s="147"/>
      <c r="D146" s="159"/>
      <c r="E146" s="147"/>
      <c r="F146" s="141"/>
      <c r="G146" s="143"/>
      <c r="H146" s="151"/>
      <c r="I146" s="140"/>
      <c r="J146" s="140"/>
      <c r="K146" s="140"/>
      <c r="L146" s="147"/>
      <c r="M146" s="159"/>
      <c r="N146" s="147"/>
      <c r="O146" s="141"/>
      <c r="P146" s="143"/>
      <c r="Q146" s="151"/>
      <c r="R146" s="140"/>
      <c r="S146" s="140"/>
    </row>
    <row r="147" ht="33.75" customHeight="1">
      <c r="A147" s="140"/>
      <c r="B147" s="140"/>
      <c r="C147" s="147"/>
      <c r="D147" s="159"/>
      <c r="E147" s="147"/>
      <c r="F147" s="141"/>
      <c r="G147" s="143"/>
      <c r="H147" s="151"/>
      <c r="I147" s="140"/>
      <c r="J147" s="140"/>
      <c r="K147" s="140"/>
      <c r="L147" s="147"/>
      <c r="M147" s="159"/>
      <c r="N147" s="147"/>
      <c r="O147" s="141"/>
      <c r="P147" s="143"/>
      <c r="Q147" s="151"/>
      <c r="R147" s="140"/>
      <c r="S147" s="140"/>
    </row>
    <row r="148" ht="33.75" customHeight="1">
      <c r="A148" s="140"/>
      <c r="B148" s="140"/>
      <c r="C148" s="147"/>
      <c r="D148" s="159"/>
      <c r="E148" s="147"/>
      <c r="F148" s="141"/>
      <c r="G148" s="143"/>
      <c r="H148" s="151"/>
      <c r="I148" s="140"/>
      <c r="J148" s="140"/>
      <c r="K148" s="140"/>
      <c r="L148" s="147"/>
      <c r="M148" s="159"/>
      <c r="N148" s="147"/>
      <c r="O148" s="141"/>
      <c r="P148" s="143"/>
      <c r="Q148" s="151"/>
      <c r="R148" s="140"/>
      <c r="S148" s="140"/>
    </row>
    <row r="149" ht="33.75" customHeight="1">
      <c r="A149" s="140"/>
      <c r="B149" s="140"/>
      <c r="C149" s="147"/>
      <c r="D149" s="159"/>
      <c r="E149" s="147"/>
      <c r="F149" s="141"/>
      <c r="G149" s="143"/>
      <c r="H149" s="151"/>
      <c r="I149" s="140"/>
      <c r="J149" s="140"/>
      <c r="K149" s="140"/>
      <c r="L149" s="147"/>
      <c r="M149" s="159"/>
      <c r="N149" s="147"/>
      <c r="O149" s="141"/>
      <c r="P149" s="143"/>
      <c r="Q149" s="151"/>
      <c r="R149" s="140"/>
      <c r="S149" s="140"/>
    </row>
    <row r="150" ht="33.75" customHeight="1">
      <c r="A150" s="140"/>
      <c r="B150" s="140"/>
      <c r="C150" s="147"/>
      <c r="D150" s="159"/>
      <c r="E150" s="147"/>
      <c r="F150" s="141"/>
      <c r="G150" s="143"/>
      <c r="H150" s="151"/>
      <c r="I150" s="140"/>
      <c r="J150" s="140"/>
      <c r="K150" s="140"/>
      <c r="L150" s="147"/>
      <c r="M150" s="159"/>
      <c r="N150" s="147"/>
      <c r="O150" s="141"/>
      <c r="P150" s="143"/>
      <c r="Q150" s="151"/>
      <c r="R150" s="140"/>
      <c r="S150" s="140"/>
    </row>
    <row r="151" ht="33.75" customHeight="1">
      <c r="A151" s="140"/>
      <c r="B151" s="140"/>
      <c r="C151" s="147"/>
      <c r="D151" s="159"/>
      <c r="E151" s="147"/>
      <c r="F151" s="141"/>
      <c r="G151" s="143"/>
      <c r="H151" s="151"/>
      <c r="I151" s="140"/>
      <c r="J151" s="140"/>
      <c r="K151" s="140"/>
      <c r="L151" s="147"/>
      <c r="M151" s="159"/>
      <c r="N151" s="147"/>
      <c r="O151" s="141"/>
      <c r="P151" s="143"/>
      <c r="Q151" s="151"/>
      <c r="R151" s="140"/>
      <c r="S151" s="140"/>
    </row>
    <row r="152" ht="33.75" customHeight="1">
      <c r="A152" s="140"/>
      <c r="B152" s="140"/>
      <c r="C152" s="147"/>
      <c r="D152" s="159"/>
      <c r="E152" s="147"/>
      <c r="F152" s="141"/>
      <c r="G152" s="143"/>
      <c r="H152" s="151"/>
      <c r="I152" s="140"/>
      <c r="J152" s="140"/>
      <c r="K152" s="140"/>
      <c r="L152" s="147"/>
      <c r="M152" s="159"/>
      <c r="N152" s="147"/>
      <c r="O152" s="141"/>
      <c r="P152" s="143"/>
      <c r="Q152" s="151"/>
      <c r="R152" s="140"/>
      <c r="S152" s="140"/>
    </row>
    <row r="153" ht="33.75" customHeight="1">
      <c r="A153" s="140"/>
      <c r="B153" s="140"/>
      <c r="C153" s="147"/>
      <c r="D153" s="159"/>
      <c r="E153" s="147"/>
      <c r="F153" s="141"/>
      <c r="G153" s="143"/>
      <c r="H153" s="151"/>
      <c r="I153" s="140"/>
      <c r="J153" s="140"/>
      <c r="K153" s="140"/>
      <c r="L153" s="147"/>
      <c r="M153" s="159"/>
      <c r="N153" s="147"/>
      <c r="O153" s="141"/>
      <c r="P153" s="143"/>
      <c r="Q153" s="151"/>
      <c r="R153" s="140"/>
      <c r="S153" s="140"/>
    </row>
    <row r="154" ht="33.75" customHeight="1">
      <c r="A154" s="140"/>
      <c r="B154" s="140"/>
      <c r="C154" s="147"/>
      <c r="D154" s="159"/>
      <c r="E154" s="147"/>
      <c r="F154" s="141"/>
      <c r="G154" s="143"/>
      <c r="H154" s="151"/>
      <c r="I154" s="140"/>
      <c r="J154" s="140"/>
      <c r="K154" s="140"/>
      <c r="L154" s="147"/>
      <c r="M154" s="159"/>
      <c r="N154" s="147"/>
      <c r="O154" s="141"/>
      <c r="P154" s="143"/>
      <c r="Q154" s="151"/>
      <c r="R154" s="140"/>
      <c r="S154" s="140"/>
    </row>
    <row r="155" ht="33.75" customHeight="1">
      <c r="A155" s="140"/>
      <c r="B155" s="140"/>
      <c r="C155" s="147"/>
      <c r="D155" s="159"/>
      <c r="E155" s="147"/>
      <c r="F155" s="141"/>
      <c r="G155" s="143"/>
      <c r="H155" s="151"/>
      <c r="I155" s="140"/>
      <c r="J155" s="140"/>
      <c r="K155" s="140"/>
      <c r="L155" s="147"/>
      <c r="M155" s="159"/>
      <c r="N155" s="147"/>
      <c r="O155" s="141"/>
      <c r="P155" s="143"/>
      <c r="Q155" s="151"/>
      <c r="R155" s="140"/>
      <c r="S155" s="140"/>
    </row>
    <row r="156" ht="33.75" customHeight="1">
      <c r="A156" s="140"/>
      <c r="B156" s="140"/>
      <c r="C156" s="147"/>
      <c r="D156" s="159"/>
      <c r="E156" s="147"/>
      <c r="F156" s="141"/>
      <c r="G156" s="143"/>
      <c r="H156" s="151"/>
      <c r="I156" s="140"/>
      <c r="J156" s="140"/>
      <c r="K156" s="140"/>
      <c r="L156" s="147"/>
      <c r="M156" s="159"/>
      <c r="N156" s="147"/>
      <c r="O156" s="141"/>
      <c r="P156" s="143"/>
      <c r="Q156" s="151"/>
      <c r="R156" s="140"/>
      <c r="S156" s="140"/>
    </row>
    <row r="157" ht="33.75" customHeight="1">
      <c r="A157" s="140"/>
      <c r="B157" s="140"/>
      <c r="C157" s="147"/>
      <c r="D157" s="159"/>
      <c r="E157" s="147"/>
      <c r="F157" s="141"/>
      <c r="G157" s="143"/>
      <c r="H157" s="151"/>
      <c r="I157" s="140"/>
      <c r="J157" s="140"/>
      <c r="K157" s="140"/>
      <c r="L157" s="147"/>
      <c r="M157" s="159"/>
      <c r="N157" s="147"/>
      <c r="O157" s="141"/>
      <c r="P157" s="143"/>
      <c r="Q157" s="151"/>
      <c r="R157" s="140"/>
      <c r="S157" s="140"/>
    </row>
    <row r="158" ht="33.75" customHeight="1">
      <c r="A158" s="140"/>
      <c r="B158" s="140"/>
      <c r="C158" s="147"/>
      <c r="D158" s="159"/>
      <c r="E158" s="147"/>
      <c r="F158" s="141"/>
      <c r="G158" s="143"/>
      <c r="H158" s="151"/>
      <c r="I158" s="140"/>
      <c r="J158" s="140"/>
      <c r="K158" s="140"/>
      <c r="L158" s="147"/>
      <c r="M158" s="159"/>
      <c r="N158" s="147"/>
      <c r="O158" s="141"/>
      <c r="P158" s="143"/>
      <c r="Q158" s="151"/>
      <c r="R158" s="140"/>
      <c r="S158" s="140"/>
    </row>
    <row r="159" ht="33.75" customHeight="1">
      <c r="A159" s="140"/>
      <c r="B159" s="140"/>
      <c r="C159" s="147"/>
      <c r="D159" s="159"/>
      <c r="E159" s="147"/>
      <c r="F159" s="141"/>
      <c r="G159" s="143"/>
      <c r="H159" s="151"/>
      <c r="I159" s="140"/>
      <c r="J159" s="140"/>
      <c r="K159" s="140"/>
      <c r="L159" s="147"/>
      <c r="M159" s="159"/>
      <c r="N159" s="147"/>
      <c r="O159" s="141"/>
      <c r="P159" s="143"/>
      <c r="Q159" s="151"/>
      <c r="R159" s="140"/>
      <c r="S159" s="140"/>
    </row>
    <row r="160" ht="33.75" customHeight="1">
      <c r="A160" s="140"/>
      <c r="B160" s="140"/>
      <c r="C160" s="147"/>
      <c r="D160" s="159"/>
      <c r="E160" s="147"/>
      <c r="F160" s="141"/>
      <c r="G160" s="143"/>
      <c r="H160" s="151"/>
      <c r="I160" s="140"/>
      <c r="J160" s="140"/>
      <c r="K160" s="140"/>
      <c r="L160" s="147"/>
      <c r="M160" s="159"/>
      <c r="N160" s="147"/>
      <c r="O160" s="141"/>
      <c r="P160" s="143"/>
      <c r="Q160" s="151"/>
      <c r="R160" s="140"/>
      <c r="S160" s="140"/>
    </row>
    <row r="161" ht="33.75" customHeight="1">
      <c r="A161" s="140"/>
      <c r="B161" s="140"/>
      <c r="C161" s="147"/>
      <c r="D161" s="159"/>
      <c r="E161" s="147"/>
      <c r="F161" s="141"/>
      <c r="G161" s="143"/>
      <c r="H161" s="151"/>
      <c r="I161" s="140"/>
      <c r="J161" s="140"/>
      <c r="K161" s="140"/>
      <c r="L161" s="147"/>
      <c r="M161" s="159"/>
      <c r="N161" s="147"/>
      <c r="O161" s="141"/>
      <c r="P161" s="143"/>
      <c r="Q161" s="151"/>
      <c r="R161" s="140"/>
      <c r="S161" s="140"/>
    </row>
    <row r="162" ht="33.75" customHeight="1">
      <c r="A162" s="140"/>
      <c r="B162" s="140"/>
      <c r="C162" s="147"/>
      <c r="D162" s="159"/>
      <c r="E162" s="147"/>
      <c r="F162" s="141"/>
      <c r="G162" s="143"/>
      <c r="H162" s="151"/>
      <c r="I162" s="140"/>
      <c r="J162" s="140"/>
      <c r="K162" s="140"/>
      <c r="L162" s="147"/>
      <c r="M162" s="159"/>
      <c r="N162" s="147"/>
      <c r="O162" s="141"/>
      <c r="P162" s="143"/>
      <c r="Q162" s="151"/>
      <c r="R162" s="140"/>
      <c r="S162" s="140"/>
    </row>
    <row r="163" ht="33.75" customHeight="1">
      <c r="A163" s="140"/>
      <c r="B163" s="140"/>
      <c r="C163" s="147"/>
      <c r="D163" s="159"/>
      <c r="E163" s="147"/>
      <c r="F163" s="141"/>
      <c r="G163" s="143"/>
      <c r="H163" s="151"/>
      <c r="I163" s="140"/>
      <c r="J163" s="140"/>
      <c r="K163" s="140"/>
      <c r="L163" s="147"/>
      <c r="M163" s="159"/>
      <c r="N163" s="147"/>
      <c r="O163" s="141"/>
      <c r="P163" s="143"/>
      <c r="Q163" s="151"/>
      <c r="R163" s="140"/>
      <c r="S163" s="140"/>
    </row>
    <row r="164" ht="33.75" customHeight="1">
      <c r="A164" s="140"/>
      <c r="B164" s="140"/>
      <c r="C164" s="147"/>
      <c r="D164" s="159"/>
      <c r="E164" s="147"/>
      <c r="F164" s="141"/>
      <c r="G164" s="143"/>
      <c r="H164" s="151"/>
      <c r="I164" s="140"/>
      <c r="J164" s="140"/>
      <c r="K164" s="140"/>
      <c r="L164" s="147"/>
      <c r="M164" s="159"/>
      <c r="N164" s="147"/>
      <c r="O164" s="141"/>
      <c r="P164" s="143"/>
      <c r="Q164" s="151"/>
      <c r="R164" s="140"/>
      <c r="S164" s="140"/>
    </row>
    <row r="165" ht="33.75" customHeight="1">
      <c r="A165" s="140"/>
      <c r="B165" s="140"/>
      <c r="C165" s="147"/>
      <c r="D165" s="159"/>
      <c r="E165" s="147"/>
      <c r="F165" s="141"/>
      <c r="G165" s="143"/>
      <c r="H165" s="151"/>
      <c r="I165" s="140"/>
      <c r="J165" s="140"/>
      <c r="K165" s="140"/>
      <c r="L165" s="147"/>
      <c r="M165" s="159"/>
      <c r="N165" s="147"/>
      <c r="O165" s="141"/>
      <c r="P165" s="143"/>
      <c r="Q165" s="151"/>
      <c r="R165" s="140"/>
      <c r="S165" s="140"/>
    </row>
    <row r="166" ht="33.75" customHeight="1">
      <c r="A166" s="140"/>
      <c r="B166" s="140"/>
      <c r="C166" s="147"/>
      <c r="D166" s="159"/>
      <c r="E166" s="147"/>
      <c r="F166" s="141"/>
      <c r="G166" s="143"/>
      <c r="H166" s="151"/>
      <c r="I166" s="140"/>
      <c r="J166" s="140"/>
      <c r="K166" s="140"/>
      <c r="L166" s="147"/>
      <c r="M166" s="159"/>
      <c r="N166" s="147"/>
      <c r="O166" s="141"/>
      <c r="P166" s="143"/>
      <c r="Q166" s="151"/>
      <c r="R166" s="140"/>
      <c r="S166" s="140"/>
    </row>
    <row r="167" ht="33.75" customHeight="1">
      <c r="A167" s="140"/>
      <c r="B167" s="140"/>
      <c r="C167" s="147"/>
      <c r="D167" s="159"/>
      <c r="E167" s="147"/>
      <c r="F167" s="141"/>
      <c r="G167" s="143"/>
      <c r="H167" s="151"/>
      <c r="I167" s="140"/>
      <c r="J167" s="140"/>
      <c r="K167" s="140"/>
      <c r="L167" s="147"/>
      <c r="M167" s="159"/>
      <c r="N167" s="147"/>
      <c r="O167" s="141"/>
      <c r="P167" s="143"/>
      <c r="Q167" s="151"/>
      <c r="R167" s="140"/>
      <c r="S167" s="140"/>
    </row>
    <row r="168" ht="33.75" customHeight="1">
      <c r="A168" s="140"/>
      <c r="B168" s="140"/>
      <c r="C168" s="147"/>
      <c r="D168" s="159"/>
      <c r="E168" s="147"/>
      <c r="F168" s="141"/>
      <c r="G168" s="143"/>
      <c r="H168" s="151"/>
      <c r="I168" s="140"/>
      <c r="J168" s="140"/>
      <c r="K168" s="140"/>
      <c r="L168" s="147"/>
      <c r="M168" s="159"/>
      <c r="N168" s="147"/>
      <c r="O168" s="141"/>
      <c r="P168" s="143"/>
      <c r="Q168" s="151"/>
      <c r="R168" s="140"/>
      <c r="S168" s="140"/>
    </row>
    <row r="169" ht="33.75" customHeight="1">
      <c r="A169" s="140"/>
      <c r="B169" s="140"/>
      <c r="C169" s="147"/>
      <c r="D169" s="159"/>
      <c r="E169" s="147"/>
      <c r="F169" s="141"/>
      <c r="G169" s="143"/>
      <c r="H169" s="151"/>
      <c r="I169" s="140"/>
      <c r="J169" s="140"/>
      <c r="K169" s="140"/>
      <c r="L169" s="147"/>
      <c r="M169" s="159"/>
      <c r="N169" s="147"/>
      <c r="O169" s="141"/>
      <c r="P169" s="143"/>
      <c r="Q169" s="151"/>
      <c r="R169" s="140"/>
      <c r="S169" s="140"/>
    </row>
    <row r="170" ht="33.75" customHeight="1">
      <c r="A170" s="140"/>
      <c r="B170" s="140"/>
      <c r="C170" s="147"/>
      <c r="D170" s="159"/>
      <c r="E170" s="147"/>
      <c r="F170" s="141"/>
      <c r="G170" s="143"/>
      <c r="H170" s="151"/>
      <c r="I170" s="140"/>
      <c r="J170" s="140"/>
      <c r="K170" s="140"/>
      <c r="L170" s="147"/>
      <c r="M170" s="159"/>
      <c r="N170" s="147"/>
      <c r="O170" s="141"/>
      <c r="P170" s="143"/>
      <c r="Q170" s="151"/>
      <c r="R170" s="140"/>
      <c r="S170" s="140"/>
    </row>
    <row r="171" ht="33.75" customHeight="1">
      <c r="A171" s="140"/>
      <c r="B171" s="140"/>
      <c r="C171" s="147"/>
      <c r="D171" s="159"/>
      <c r="E171" s="147"/>
      <c r="F171" s="141"/>
      <c r="G171" s="143"/>
      <c r="H171" s="151"/>
      <c r="I171" s="140"/>
      <c r="J171" s="140"/>
      <c r="K171" s="140"/>
      <c r="L171" s="147"/>
      <c r="M171" s="159"/>
      <c r="N171" s="147"/>
      <c r="O171" s="141"/>
      <c r="P171" s="143"/>
      <c r="Q171" s="151"/>
      <c r="R171" s="140"/>
      <c r="S171" s="140"/>
    </row>
    <row r="172" ht="33.75" customHeight="1">
      <c r="A172" s="140"/>
      <c r="B172" s="140"/>
      <c r="C172" s="147"/>
      <c r="D172" s="159"/>
      <c r="E172" s="147"/>
      <c r="F172" s="141"/>
      <c r="G172" s="143"/>
      <c r="H172" s="151"/>
      <c r="I172" s="140"/>
      <c r="J172" s="140"/>
      <c r="K172" s="140"/>
      <c r="L172" s="147"/>
      <c r="M172" s="159"/>
      <c r="N172" s="147"/>
      <c r="O172" s="141"/>
      <c r="P172" s="143"/>
      <c r="Q172" s="151"/>
      <c r="R172" s="140"/>
      <c r="S172" s="140"/>
    </row>
    <row r="173" ht="33.75" customHeight="1">
      <c r="A173" s="140"/>
      <c r="B173" s="140"/>
      <c r="C173" s="147"/>
      <c r="D173" s="159"/>
      <c r="E173" s="147"/>
      <c r="F173" s="141"/>
      <c r="G173" s="143"/>
      <c r="H173" s="151"/>
      <c r="I173" s="140"/>
      <c r="J173" s="140"/>
      <c r="K173" s="140"/>
      <c r="L173" s="147"/>
      <c r="M173" s="159"/>
      <c r="N173" s="147"/>
      <c r="O173" s="141"/>
      <c r="P173" s="143"/>
      <c r="Q173" s="151"/>
      <c r="R173" s="140"/>
      <c r="S173" s="140"/>
    </row>
    <row r="174" ht="33.75" customHeight="1">
      <c r="A174" s="140"/>
      <c r="B174" s="140"/>
      <c r="C174" s="147"/>
      <c r="D174" s="159"/>
      <c r="E174" s="147"/>
      <c r="F174" s="141"/>
      <c r="G174" s="143"/>
      <c r="H174" s="151"/>
      <c r="I174" s="140"/>
      <c r="J174" s="140"/>
      <c r="K174" s="140"/>
      <c r="L174" s="147"/>
      <c r="M174" s="159"/>
      <c r="N174" s="147"/>
      <c r="O174" s="141"/>
      <c r="P174" s="143"/>
      <c r="Q174" s="151"/>
      <c r="R174" s="140"/>
      <c r="S174" s="140"/>
    </row>
    <row r="175" ht="33.75" customHeight="1">
      <c r="A175" s="154"/>
      <c r="B175" s="154"/>
      <c r="C175" s="155"/>
      <c r="D175" s="156"/>
      <c r="E175" s="155"/>
      <c r="F175" s="155"/>
      <c r="G175" s="155"/>
      <c r="H175" s="157"/>
      <c r="I175" s="154"/>
      <c r="J175" s="154"/>
      <c r="K175" s="154"/>
      <c r="L175" s="155"/>
      <c r="M175" s="156"/>
      <c r="N175" s="155"/>
      <c r="O175" s="155"/>
      <c r="P175" s="155"/>
      <c r="Q175" s="157"/>
      <c r="R175" s="154"/>
      <c r="S175" s="154"/>
    </row>
    <row r="176" ht="33.75" customHeight="1">
      <c r="A176" s="154"/>
      <c r="B176" s="154"/>
      <c r="C176" s="155"/>
      <c r="D176" s="156"/>
      <c r="E176" s="155"/>
      <c r="F176" s="155"/>
      <c r="G176" s="155"/>
      <c r="H176" s="157"/>
      <c r="I176" s="154"/>
      <c r="J176" s="154"/>
      <c r="K176" s="154"/>
      <c r="L176" s="155"/>
      <c r="M176" s="156"/>
      <c r="N176" s="155"/>
      <c r="O176" s="155"/>
      <c r="P176" s="155"/>
      <c r="Q176" s="157"/>
      <c r="R176" s="154"/>
      <c r="S176" s="154"/>
    </row>
    <row r="177" ht="33.75" customHeight="1">
      <c r="A177" s="154"/>
      <c r="B177" s="154"/>
      <c r="C177" s="155"/>
      <c r="D177" s="156"/>
      <c r="E177" s="155"/>
      <c r="F177" s="155"/>
      <c r="G177" s="155"/>
      <c r="H177" s="157"/>
      <c r="I177" s="154"/>
      <c r="J177" s="154"/>
      <c r="K177" s="154"/>
      <c r="L177" s="155"/>
      <c r="M177" s="156"/>
      <c r="N177" s="155"/>
      <c r="O177" s="155"/>
      <c r="P177" s="155"/>
      <c r="Q177" s="157"/>
      <c r="R177" s="154"/>
      <c r="S177" s="154"/>
    </row>
    <row r="178" ht="33.75" customHeight="1">
      <c r="A178" s="154"/>
      <c r="B178" s="154"/>
      <c r="C178" s="155"/>
      <c r="D178" s="156"/>
      <c r="E178" s="155"/>
      <c r="F178" s="155"/>
      <c r="G178" s="155"/>
      <c r="H178" s="157"/>
      <c r="I178" s="154"/>
      <c r="J178" s="154"/>
      <c r="K178" s="154"/>
      <c r="L178" s="155"/>
      <c r="M178" s="156"/>
      <c r="N178" s="155"/>
      <c r="O178" s="155"/>
      <c r="P178" s="155"/>
      <c r="Q178" s="157"/>
      <c r="R178" s="154"/>
      <c r="S178" s="154"/>
    </row>
    <row r="179" ht="33.75" customHeight="1">
      <c r="A179" s="154"/>
      <c r="B179" s="154"/>
      <c r="C179" s="155"/>
      <c r="D179" s="156"/>
      <c r="E179" s="155"/>
      <c r="F179" s="155"/>
      <c r="G179" s="155"/>
      <c r="H179" s="157"/>
      <c r="I179" s="154"/>
      <c r="J179" s="154"/>
      <c r="K179" s="154"/>
      <c r="L179" s="155"/>
      <c r="M179" s="156"/>
      <c r="N179" s="155"/>
      <c r="O179" s="155"/>
      <c r="P179" s="155"/>
      <c r="Q179" s="157"/>
      <c r="R179" s="154"/>
      <c r="S179" s="154"/>
    </row>
    <row r="180" ht="33.75" customHeight="1">
      <c r="A180" s="154"/>
      <c r="B180" s="154"/>
      <c r="C180" s="155"/>
      <c r="D180" s="156"/>
      <c r="E180" s="155"/>
      <c r="F180" s="155"/>
      <c r="G180" s="155"/>
      <c r="H180" s="157"/>
      <c r="I180" s="154"/>
      <c r="J180" s="154"/>
      <c r="K180" s="154"/>
      <c r="L180" s="155"/>
      <c r="M180" s="156"/>
      <c r="N180" s="155"/>
      <c r="O180" s="155"/>
      <c r="P180" s="155"/>
      <c r="Q180" s="157"/>
      <c r="R180" s="154"/>
      <c r="S180" s="154"/>
    </row>
    <row r="181" ht="33.75" customHeight="1">
      <c r="A181" s="154"/>
      <c r="B181" s="154"/>
      <c r="C181" s="155"/>
      <c r="D181" s="156"/>
      <c r="E181" s="155"/>
      <c r="F181" s="155"/>
      <c r="G181" s="155"/>
      <c r="H181" s="157"/>
      <c r="I181" s="154"/>
      <c r="J181" s="154"/>
      <c r="K181" s="154"/>
      <c r="L181" s="155"/>
      <c r="M181" s="156"/>
      <c r="N181" s="155"/>
      <c r="O181" s="155"/>
      <c r="P181" s="155"/>
      <c r="Q181" s="157"/>
      <c r="R181" s="154"/>
      <c r="S181" s="154"/>
    </row>
    <row r="182" ht="33.75" customHeight="1">
      <c r="A182" s="154"/>
      <c r="B182" s="154"/>
      <c r="C182" s="155"/>
      <c r="D182" s="156"/>
      <c r="E182" s="155"/>
      <c r="F182" s="155"/>
      <c r="G182" s="155"/>
      <c r="H182" s="157"/>
      <c r="I182" s="154"/>
      <c r="J182" s="154"/>
      <c r="K182" s="154"/>
      <c r="L182" s="155"/>
      <c r="M182" s="156"/>
      <c r="N182" s="155"/>
      <c r="O182" s="155"/>
      <c r="P182" s="155"/>
      <c r="Q182" s="157"/>
      <c r="R182" s="154"/>
      <c r="S182" s="154"/>
    </row>
    <row r="183">
      <c r="A183" s="154"/>
      <c r="B183" s="154"/>
      <c r="C183" s="155"/>
      <c r="D183" s="156"/>
      <c r="E183" s="155"/>
      <c r="F183" s="155"/>
      <c r="G183" s="155"/>
      <c r="H183" s="157"/>
      <c r="I183" s="154"/>
      <c r="J183" s="154"/>
      <c r="K183" s="154"/>
      <c r="L183" s="155"/>
      <c r="M183" s="156"/>
      <c r="N183" s="155"/>
      <c r="O183" s="155"/>
      <c r="P183" s="155"/>
      <c r="Q183" s="157"/>
      <c r="R183" s="154"/>
      <c r="S183" s="154"/>
    </row>
    <row r="184">
      <c r="A184" s="154"/>
      <c r="B184" s="154"/>
      <c r="C184" s="155"/>
      <c r="D184" s="156"/>
      <c r="E184" s="155"/>
      <c r="F184" s="155"/>
      <c r="G184" s="155"/>
      <c r="H184" s="157"/>
      <c r="I184" s="154"/>
      <c r="J184" s="154"/>
      <c r="K184" s="154"/>
      <c r="L184" s="155"/>
      <c r="M184" s="156"/>
      <c r="N184" s="155"/>
      <c r="O184" s="155"/>
      <c r="P184" s="155"/>
      <c r="Q184" s="157"/>
      <c r="R184" s="154"/>
      <c r="S184" s="154"/>
    </row>
    <row r="185">
      <c r="A185" s="154"/>
      <c r="B185" s="154"/>
      <c r="C185" s="155"/>
      <c r="D185" s="156"/>
      <c r="E185" s="155"/>
      <c r="F185" s="155"/>
      <c r="G185" s="155"/>
      <c r="H185" s="157"/>
      <c r="I185" s="154"/>
      <c r="J185" s="154"/>
      <c r="K185" s="154"/>
      <c r="L185" s="155"/>
      <c r="M185" s="156"/>
      <c r="N185" s="155"/>
      <c r="O185" s="155"/>
      <c r="P185" s="155"/>
      <c r="Q185" s="157"/>
      <c r="R185" s="154"/>
      <c r="S185" s="154"/>
    </row>
    <row r="186">
      <c r="A186" s="154"/>
      <c r="B186" s="154"/>
      <c r="C186" s="155"/>
      <c r="D186" s="156"/>
      <c r="E186" s="155"/>
      <c r="F186" s="155"/>
      <c r="G186" s="155"/>
      <c r="H186" s="157"/>
      <c r="I186" s="154"/>
      <c r="J186" s="154"/>
      <c r="K186" s="154"/>
      <c r="L186" s="155"/>
      <c r="M186" s="156"/>
      <c r="N186" s="155"/>
      <c r="O186" s="155"/>
      <c r="P186" s="155"/>
      <c r="Q186" s="157"/>
      <c r="R186" s="154"/>
      <c r="S186" s="154"/>
    </row>
    <row r="187">
      <c r="A187" s="154"/>
      <c r="B187" s="154"/>
      <c r="C187" s="155"/>
      <c r="D187" s="156"/>
      <c r="E187" s="155"/>
      <c r="F187" s="155"/>
      <c r="G187" s="155"/>
      <c r="H187" s="157"/>
      <c r="I187" s="154"/>
      <c r="J187" s="154"/>
      <c r="K187" s="154"/>
      <c r="L187" s="155"/>
      <c r="M187" s="156"/>
      <c r="N187" s="155"/>
      <c r="O187" s="155"/>
      <c r="P187" s="155"/>
      <c r="Q187" s="157"/>
      <c r="R187" s="154"/>
      <c r="S187" s="154"/>
    </row>
    <row r="188">
      <c r="A188" s="154"/>
      <c r="B188" s="154"/>
      <c r="C188" s="155"/>
      <c r="D188" s="156"/>
      <c r="E188" s="155"/>
      <c r="F188" s="155"/>
      <c r="G188" s="155"/>
      <c r="H188" s="157"/>
      <c r="I188" s="154"/>
      <c r="J188" s="154"/>
      <c r="K188" s="154"/>
      <c r="L188" s="155"/>
      <c r="M188" s="156"/>
      <c r="N188" s="155"/>
      <c r="O188" s="155"/>
      <c r="P188" s="155"/>
      <c r="Q188" s="157"/>
      <c r="R188" s="154"/>
      <c r="S188" s="154"/>
    </row>
    <row r="189">
      <c r="A189" s="154"/>
      <c r="B189" s="154"/>
      <c r="C189" s="155"/>
      <c r="D189" s="156"/>
      <c r="E189" s="155"/>
      <c r="F189" s="155"/>
      <c r="G189" s="155"/>
      <c r="H189" s="157"/>
      <c r="I189" s="154"/>
      <c r="J189" s="154"/>
      <c r="K189" s="154"/>
      <c r="L189" s="155"/>
      <c r="M189" s="156"/>
      <c r="N189" s="155"/>
      <c r="O189" s="155"/>
      <c r="P189" s="155"/>
      <c r="Q189" s="157"/>
      <c r="R189" s="154"/>
      <c r="S189" s="154"/>
    </row>
    <row r="190">
      <c r="A190" s="154"/>
      <c r="B190" s="154"/>
      <c r="C190" s="155"/>
      <c r="D190" s="156"/>
      <c r="E190" s="155"/>
      <c r="F190" s="155"/>
      <c r="G190" s="155"/>
      <c r="H190" s="157"/>
      <c r="I190" s="154"/>
      <c r="J190" s="154"/>
      <c r="K190" s="154"/>
      <c r="L190" s="155"/>
      <c r="M190" s="156"/>
      <c r="N190" s="155"/>
      <c r="O190" s="155"/>
      <c r="P190" s="155"/>
      <c r="Q190" s="157"/>
      <c r="R190" s="154"/>
      <c r="S190" s="154"/>
    </row>
    <row r="191">
      <c r="A191" s="154"/>
      <c r="B191" s="154"/>
      <c r="C191" s="155"/>
      <c r="D191" s="156"/>
      <c r="E191" s="155"/>
      <c r="F191" s="155"/>
      <c r="G191" s="155"/>
      <c r="H191" s="157"/>
      <c r="I191" s="154"/>
      <c r="J191" s="154"/>
      <c r="K191" s="154"/>
      <c r="L191" s="155"/>
      <c r="M191" s="156"/>
      <c r="N191" s="155"/>
      <c r="O191" s="155"/>
      <c r="P191" s="155"/>
      <c r="Q191" s="157"/>
      <c r="R191" s="154"/>
      <c r="S191" s="154"/>
    </row>
    <row r="192">
      <c r="A192" s="154"/>
      <c r="B192" s="154"/>
      <c r="C192" s="155"/>
      <c r="D192" s="156"/>
      <c r="E192" s="155"/>
      <c r="F192" s="155"/>
      <c r="G192" s="155"/>
      <c r="H192" s="157"/>
      <c r="I192" s="154"/>
      <c r="J192" s="154"/>
      <c r="K192" s="154"/>
      <c r="L192" s="155"/>
      <c r="M192" s="156"/>
      <c r="N192" s="155"/>
      <c r="O192" s="155"/>
      <c r="P192" s="155"/>
      <c r="Q192" s="157"/>
      <c r="R192" s="154"/>
      <c r="S192" s="154"/>
    </row>
    <row r="193">
      <c r="A193" s="154"/>
      <c r="B193" s="154"/>
      <c r="C193" s="155"/>
      <c r="D193" s="156"/>
      <c r="E193" s="155"/>
      <c r="F193" s="155"/>
      <c r="G193" s="155"/>
      <c r="H193" s="157"/>
      <c r="I193" s="154"/>
      <c r="J193" s="154"/>
      <c r="K193" s="154"/>
      <c r="L193" s="155"/>
      <c r="M193" s="156"/>
      <c r="N193" s="155"/>
      <c r="O193" s="155"/>
      <c r="P193" s="155"/>
      <c r="Q193" s="157"/>
      <c r="R193" s="154"/>
      <c r="S193" s="154"/>
    </row>
    <row r="194">
      <c r="A194" s="154"/>
      <c r="B194" s="154"/>
      <c r="C194" s="155"/>
      <c r="D194" s="156"/>
      <c r="E194" s="155"/>
      <c r="F194" s="155"/>
      <c r="G194" s="155"/>
      <c r="H194" s="157"/>
      <c r="I194" s="154"/>
      <c r="J194" s="154"/>
      <c r="K194" s="154"/>
      <c r="L194" s="155"/>
      <c r="M194" s="156"/>
      <c r="N194" s="155"/>
      <c r="O194" s="155"/>
      <c r="P194" s="155"/>
      <c r="Q194" s="157"/>
      <c r="R194" s="154"/>
      <c r="S194" s="154"/>
    </row>
    <row r="195">
      <c r="A195" s="154"/>
      <c r="B195" s="154"/>
      <c r="C195" s="155"/>
      <c r="D195" s="156"/>
      <c r="E195" s="155"/>
      <c r="F195" s="155"/>
      <c r="G195" s="155"/>
      <c r="H195" s="157"/>
      <c r="I195" s="154"/>
      <c r="J195" s="154"/>
      <c r="K195" s="154"/>
      <c r="L195" s="155"/>
      <c r="M195" s="156"/>
      <c r="N195" s="155"/>
      <c r="O195" s="155"/>
      <c r="P195" s="155"/>
      <c r="Q195" s="157"/>
      <c r="R195" s="154"/>
      <c r="S195" s="154"/>
    </row>
    <row r="196">
      <c r="A196" s="154"/>
      <c r="B196" s="154"/>
      <c r="C196" s="155"/>
      <c r="D196" s="156"/>
      <c r="E196" s="155"/>
      <c r="F196" s="155"/>
      <c r="G196" s="155"/>
      <c r="H196" s="157"/>
      <c r="I196" s="154"/>
      <c r="J196" s="154"/>
      <c r="K196" s="154"/>
      <c r="L196" s="155"/>
      <c r="M196" s="156"/>
      <c r="N196" s="155"/>
      <c r="O196" s="155"/>
      <c r="P196" s="155"/>
      <c r="Q196" s="157"/>
      <c r="R196" s="154"/>
      <c r="S196" s="154"/>
    </row>
    <row r="197">
      <c r="A197" s="154"/>
      <c r="B197" s="154"/>
      <c r="C197" s="155"/>
      <c r="D197" s="156"/>
      <c r="E197" s="155"/>
      <c r="F197" s="155"/>
      <c r="G197" s="155"/>
      <c r="H197" s="157"/>
      <c r="I197" s="154"/>
      <c r="J197" s="154"/>
      <c r="K197" s="154"/>
      <c r="L197" s="155"/>
      <c r="M197" s="156"/>
      <c r="N197" s="155"/>
      <c r="O197" s="155"/>
      <c r="P197" s="155"/>
      <c r="Q197" s="157"/>
      <c r="R197" s="154"/>
      <c r="S197" s="154"/>
    </row>
    <row r="198">
      <c r="A198" s="154"/>
      <c r="B198" s="154"/>
      <c r="C198" s="155"/>
      <c r="D198" s="156"/>
      <c r="E198" s="155"/>
      <c r="F198" s="155"/>
      <c r="G198" s="155"/>
      <c r="H198" s="157"/>
      <c r="I198" s="154"/>
      <c r="J198" s="154"/>
      <c r="K198" s="154"/>
      <c r="L198" s="155"/>
      <c r="M198" s="156"/>
      <c r="N198" s="155"/>
      <c r="O198" s="155"/>
      <c r="P198" s="155"/>
      <c r="Q198" s="157"/>
      <c r="R198" s="154"/>
      <c r="S198" s="154"/>
    </row>
    <row r="199">
      <c r="A199" s="154"/>
      <c r="B199" s="154"/>
      <c r="C199" s="155"/>
      <c r="D199" s="156"/>
      <c r="E199" s="155"/>
      <c r="F199" s="155"/>
      <c r="G199" s="155"/>
      <c r="H199" s="157"/>
      <c r="I199" s="154"/>
      <c r="J199" s="154"/>
      <c r="K199" s="154"/>
      <c r="L199" s="155"/>
      <c r="M199" s="156"/>
      <c r="N199" s="155"/>
      <c r="O199" s="155"/>
      <c r="P199" s="155"/>
      <c r="Q199" s="157"/>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row r="591">
      <c r="A591" s="154"/>
      <c r="B591" s="154"/>
      <c r="C591" s="155"/>
      <c r="D591" s="156"/>
      <c r="E591" s="155"/>
      <c r="F591" s="155"/>
      <c r="G591" s="155"/>
      <c r="H591" s="157"/>
      <c r="I591" s="154"/>
      <c r="J591" s="154"/>
      <c r="K591" s="154"/>
      <c r="L591" s="155"/>
      <c r="M591" s="156"/>
      <c r="N591" s="155"/>
      <c r="O591" s="155"/>
      <c r="P591" s="155"/>
      <c r="Q591" s="157"/>
      <c r="R591" s="154"/>
      <c r="S591" s="154"/>
    </row>
    <row r="592">
      <c r="A592" s="154"/>
      <c r="B592" s="154"/>
      <c r="C592" s="155"/>
      <c r="D592" s="156"/>
      <c r="E592" s="155"/>
      <c r="F592" s="155"/>
      <c r="G592" s="155"/>
      <c r="H592" s="157"/>
      <c r="I592" s="154"/>
      <c r="J592" s="154"/>
      <c r="K592" s="154"/>
      <c r="L592" s="155"/>
      <c r="M592" s="156"/>
      <c r="N592" s="155"/>
      <c r="O592" s="155"/>
      <c r="P592" s="155"/>
      <c r="Q592" s="157"/>
      <c r="R592" s="154"/>
      <c r="S592" s="154"/>
    </row>
    <row r="593">
      <c r="A593" s="154"/>
      <c r="B593" s="154"/>
      <c r="C593" s="155"/>
      <c r="D593" s="156"/>
      <c r="E593" s="155"/>
      <c r="F593" s="155"/>
      <c r="G593" s="155"/>
      <c r="H593" s="157"/>
      <c r="I593" s="154"/>
      <c r="J593" s="154"/>
      <c r="K593" s="154"/>
      <c r="L593" s="155"/>
      <c r="M593" s="156"/>
      <c r="N593" s="155"/>
      <c r="O593" s="155"/>
      <c r="P593" s="155"/>
      <c r="Q593" s="157"/>
      <c r="R593" s="154"/>
      <c r="S593" s="154"/>
    </row>
    <row r="594">
      <c r="A594" s="154"/>
      <c r="B594" s="154"/>
      <c r="C594" s="155"/>
      <c r="D594" s="156"/>
      <c r="E594" s="155"/>
      <c r="F594" s="155"/>
      <c r="G594" s="155"/>
      <c r="H594" s="157"/>
      <c r="I594" s="154"/>
      <c r="J594" s="154"/>
      <c r="K594" s="154"/>
      <c r="L594" s="155"/>
      <c r="M594" s="156"/>
      <c r="N594" s="155"/>
      <c r="O594" s="155"/>
      <c r="P594" s="155"/>
      <c r="Q594" s="157"/>
      <c r="R594" s="154"/>
      <c r="S594" s="154"/>
    </row>
    <row r="595">
      <c r="A595" s="154"/>
      <c r="B595" s="154"/>
      <c r="C595" s="155"/>
      <c r="D595" s="156"/>
      <c r="E595" s="155"/>
      <c r="F595" s="155"/>
      <c r="G595" s="155"/>
      <c r="H595" s="157"/>
      <c r="I595" s="154"/>
      <c r="J595" s="154"/>
      <c r="K595" s="154"/>
      <c r="L595" s="155"/>
      <c r="M595" s="156"/>
      <c r="N595" s="155"/>
      <c r="O595" s="155"/>
      <c r="P595" s="155"/>
      <c r="Q595" s="157"/>
      <c r="R595" s="154"/>
      <c r="S595" s="154"/>
    </row>
    <row r="596">
      <c r="A596" s="154"/>
      <c r="B596" s="154"/>
      <c r="C596" s="155"/>
      <c r="D596" s="156"/>
      <c r="E596" s="155"/>
      <c r="F596" s="155"/>
      <c r="G596" s="155"/>
      <c r="H596" s="157"/>
      <c r="I596" s="154"/>
      <c r="J596" s="154"/>
      <c r="K596" s="154"/>
      <c r="L596" s="155"/>
      <c r="M596" s="156"/>
      <c r="N596" s="155"/>
      <c r="O596" s="155"/>
      <c r="P596" s="155"/>
      <c r="Q596" s="157"/>
      <c r="R596" s="154"/>
      <c r="S596" s="154"/>
    </row>
    <row r="597">
      <c r="A597" s="154"/>
      <c r="B597" s="154"/>
      <c r="C597" s="155"/>
      <c r="D597" s="156"/>
      <c r="E597" s="155"/>
      <c r="F597" s="155"/>
      <c r="G597" s="155"/>
      <c r="H597" s="157"/>
      <c r="I597" s="154"/>
      <c r="J597" s="154"/>
      <c r="K597" s="154"/>
      <c r="L597" s="155"/>
      <c r="M597" s="156"/>
      <c r="N597" s="155"/>
      <c r="O597" s="155"/>
      <c r="P597" s="155"/>
      <c r="Q597" s="157"/>
      <c r="R597" s="154"/>
      <c r="S597" s="154"/>
    </row>
    <row r="598">
      <c r="A598" s="154"/>
      <c r="B598" s="154"/>
      <c r="C598" s="155"/>
      <c r="D598" s="156"/>
      <c r="E598" s="155"/>
      <c r="F598" s="155"/>
      <c r="G598" s="155"/>
      <c r="H598" s="157"/>
      <c r="I598" s="154"/>
      <c r="J598" s="154"/>
      <c r="K598" s="154"/>
      <c r="L598" s="155"/>
      <c r="M598" s="156"/>
      <c r="N598" s="155"/>
      <c r="O598" s="155"/>
      <c r="P598" s="155"/>
      <c r="Q598" s="157"/>
      <c r="R598" s="154"/>
      <c r="S598" s="154"/>
    </row>
    <row r="599">
      <c r="A599" s="154"/>
      <c r="B599" s="154"/>
      <c r="C599" s="155"/>
      <c r="D599" s="156"/>
      <c r="E599" s="155"/>
      <c r="F599" s="155"/>
      <c r="G599" s="155"/>
      <c r="H599" s="157"/>
      <c r="I599" s="154"/>
      <c r="J599" s="154"/>
      <c r="K599" s="154"/>
      <c r="L599" s="155"/>
      <c r="M599" s="156"/>
      <c r="N599" s="155"/>
      <c r="O599" s="155"/>
      <c r="P599" s="155"/>
      <c r="Q599" s="157"/>
      <c r="R599" s="154"/>
      <c r="S599" s="154"/>
    </row>
    <row r="600">
      <c r="A600" s="154"/>
      <c r="B600" s="154"/>
      <c r="C600" s="155"/>
      <c r="D600" s="156"/>
      <c r="E600" s="155"/>
      <c r="F600" s="155"/>
      <c r="G600" s="155"/>
      <c r="H600" s="157"/>
      <c r="I600" s="154"/>
      <c r="J600" s="154"/>
      <c r="K600" s="154"/>
      <c r="L600" s="155"/>
      <c r="M600" s="156"/>
      <c r="N600" s="155"/>
      <c r="O600" s="155"/>
      <c r="P600" s="155"/>
      <c r="Q600" s="157"/>
      <c r="R600" s="154"/>
      <c r="S600" s="154"/>
    </row>
    <row r="601">
      <c r="A601" s="154"/>
      <c r="B601" s="154"/>
      <c r="C601" s="155"/>
      <c r="D601" s="156"/>
      <c r="E601" s="155"/>
      <c r="F601" s="155"/>
      <c r="G601" s="155"/>
      <c r="H601" s="157"/>
      <c r="I601" s="154"/>
      <c r="J601" s="154"/>
      <c r="K601" s="154"/>
      <c r="L601" s="155"/>
      <c r="M601" s="156"/>
      <c r="N601" s="155"/>
      <c r="O601" s="155"/>
      <c r="P601" s="155"/>
      <c r="Q601" s="157"/>
      <c r="R601" s="154"/>
      <c r="S601" s="154"/>
    </row>
    <row r="602">
      <c r="A602" s="154"/>
      <c r="B602" s="154"/>
      <c r="C602" s="155"/>
      <c r="D602" s="156"/>
      <c r="E602" s="155"/>
      <c r="F602" s="155"/>
      <c r="G602" s="155"/>
      <c r="H602" s="157"/>
      <c r="I602" s="154"/>
      <c r="J602" s="154"/>
      <c r="K602" s="154"/>
      <c r="L602" s="155"/>
      <c r="M602" s="156"/>
      <c r="N602" s="155"/>
      <c r="O602" s="155"/>
      <c r="P602" s="155"/>
      <c r="Q602" s="157"/>
      <c r="R602" s="154"/>
      <c r="S602" s="154"/>
    </row>
    <row r="603">
      <c r="A603" s="154"/>
      <c r="B603" s="154"/>
      <c r="C603" s="155"/>
      <c r="D603" s="156"/>
      <c r="E603" s="155"/>
      <c r="F603" s="155"/>
      <c r="G603" s="155"/>
      <c r="H603" s="157"/>
      <c r="I603" s="154"/>
      <c r="J603" s="154"/>
      <c r="K603" s="154"/>
      <c r="L603" s="155"/>
      <c r="M603" s="156"/>
      <c r="N603" s="155"/>
      <c r="O603" s="155"/>
      <c r="P603" s="155"/>
      <c r="Q603" s="157"/>
      <c r="R603" s="154"/>
      <c r="S603" s="154"/>
    </row>
    <row r="604">
      <c r="A604" s="154"/>
      <c r="B604" s="154"/>
      <c r="C604" s="155"/>
      <c r="D604" s="156"/>
      <c r="E604" s="155"/>
      <c r="F604" s="155"/>
      <c r="G604" s="155"/>
      <c r="H604" s="157"/>
      <c r="I604" s="154"/>
      <c r="J604" s="154"/>
      <c r="K604" s="154"/>
      <c r="L604" s="155"/>
      <c r="M604" s="156"/>
      <c r="N604" s="155"/>
      <c r="O604" s="155"/>
      <c r="P604" s="155"/>
      <c r="Q604" s="157"/>
      <c r="R604" s="154"/>
      <c r="S604" s="154"/>
    </row>
    <row r="605">
      <c r="A605" s="154"/>
      <c r="B605" s="154"/>
      <c r="C605" s="155"/>
      <c r="D605" s="156"/>
      <c r="E605" s="155"/>
      <c r="F605" s="155"/>
      <c r="G605" s="155"/>
      <c r="H605" s="157"/>
      <c r="I605" s="154"/>
      <c r="J605" s="154"/>
      <c r="K605" s="154"/>
      <c r="L605" s="155"/>
      <c r="M605" s="156"/>
      <c r="N605" s="155"/>
      <c r="O605" s="155"/>
      <c r="P605" s="155"/>
      <c r="Q605" s="157"/>
      <c r="R605" s="154"/>
      <c r="S605" s="154"/>
    </row>
  </sheetData>
  <mergeCells count="6">
    <mergeCell ref="C1:H1"/>
    <mergeCell ref="L1:Q1"/>
    <mergeCell ref="C2:H2"/>
    <mergeCell ref="L2:Q2"/>
    <mergeCell ref="C3:H3"/>
    <mergeCell ref="L3:Q3"/>
  </mergeCells>
  <dataValidations>
    <dataValidation type="list" allowBlank="1" showErrorMessage="1" sqref="A1:C1 I1:L1 R1:S1">
      <formula1>'All Competencies'!$A$3:$A605</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Q9"/>
    <hyperlink r:id="rId21" ref="D10"/>
    <hyperlink r:id="rId22" ref="H10"/>
    <hyperlink r:id="rId23" ref="M10"/>
    <hyperlink r:id="rId24" ref="Q10"/>
    <hyperlink r:id="rId25" ref="D11"/>
    <hyperlink r:id="rId26" ref="H11"/>
    <hyperlink r:id="rId27" ref="M11"/>
    <hyperlink r:id="rId28" ref="Q11"/>
    <hyperlink r:id="rId29" ref="D12"/>
    <hyperlink r:id="rId30" ref="H12"/>
    <hyperlink r:id="rId31" ref="M12"/>
    <hyperlink r:id="rId32" ref="D13"/>
    <hyperlink r:id="rId33" ref="H13"/>
    <hyperlink r:id="rId34" ref="M13"/>
    <hyperlink r:id="rId35" ref="D14"/>
    <hyperlink r:id="rId36" ref="H14"/>
    <hyperlink r:id="rId37" ref="M14"/>
    <hyperlink r:id="rId38" ref="D15"/>
    <hyperlink r:id="rId39" ref="H15"/>
    <hyperlink r:id="rId40" ref="M15"/>
    <hyperlink r:id="rId41" ref="D16"/>
    <hyperlink r:id="rId42" ref="H16"/>
    <hyperlink r:id="rId43" ref="M16"/>
    <hyperlink r:id="rId44" ref="D17"/>
    <hyperlink r:id="rId45" ref="H17"/>
    <hyperlink r:id="rId46" ref="M17"/>
    <hyperlink r:id="rId47" ref="D18"/>
    <hyperlink r:id="rId48" ref="H18"/>
    <hyperlink r:id="rId49" ref="M18"/>
    <hyperlink r:id="rId50" ref="D19"/>
    <hyperlink r:id="rId51" ref="H19"/>
    <hyperlink r:id="rId52" ref="M19"/>
    <hyperlink r:id="rId53" ref="D20"/>
    <hyperlink r:id="rId54" ref="H20"/>
    <hyperlink r:id="rId55" ref="M20"/>
    <hyperlink r:id="rId56" ref="D21"/>
    <hyperlink r:id="rId57" ref="H21"/>
    <hyperlink r:id="rId58" ref="M21"/>
    <hyperlink r:id="rId59" ref="D22"/>
    <hyperlink r:id="rId60" ref="H22"/>
    <hyperlink r:id="rId61" ref="M22"/>
    <hyperlink r:id="rId62" ref="D23"/>
    <hyperlink r:id="rId63" ref="H23"/>
    <hyperlink r:id="rId64" ref="M23"/>
    <hyperlink r:id="rId65" ref="D24"/>
    <hyperlink r:id="rId66" ref="H24"/>
    <hyperlink r:id="rId67" ref="M24"/>
    <hyperlink r:id="rId68" ref="D25"/>
    <hyperlink r:id="rId69" ref="H25"/>
    <hyperlink r:id="rId70" ref="M25"/>
    <hyperlink r:id="rId71" ref="D26"/>
    <hyperlink r:id="rId72" ref="H26"/>
    <hyperlink r:id="rId73" ref="M26"/>
    <hyperlink r:id="rId74" ref="D27"/>
    <hyperlink r:id="rId75" ref="H27"/>
    <hyperlink r:id="rId76" ref="M27"/>
    <hyperlink r:id="rId77" ref="D28"/>
    <hyperlink r:id="rId78" ref="H28"/>
    <hyperlink r:id="rId79" ref="M28"/>
    <hyperlink r:id="rId80" ref="D29"/>
    <hyperlink r:id="rId81" ref="H29"/>
    <hyperlink r:id="rId82" ref="M29"/>
    <hyperlink r:id="rId83" ref="D30"/>
    <hyperlink r:id="rId84" ref="H30"/>
    <hyperlink r:id="rId85" ref="M30"/>
    <hyperlink r:id="rId86" ref="D31"/>
    <hyperlink r:id="rId87" ref="H31"/>
    <hyperlink r:id="rId88" ref="M31"/>
    <hyperlink r:id="rId89" ref="D32"/>
    <hyperlink r:id="rId90" ref="H32"/>
    <hyperlink r:id="rId91" ref="M32"/>
    <hyperlink r:id="rId92" ref="D33"/>
    <hyperlink r:id="rId93" ref="H33"/>
    <hyperlink r:id="rId94" ref="M33"/>
    <hyperlink r:id="rId95" ref="D34"/>
    <hyperlink r:id="rId96" ref="H34"/>
    <hyperlink r:id="rId97" ref="M34"/>
    <hyperlink r:id="rId98" ref="D35"/>
    <hyperlink r:id="rId99" ref="H35"/>
    <hyperlink r:id="rId100" ref="M35"/>
    <hyperlink r:id="rId101" ref="D36"/>
    <hyperlink r:id="rId102" ref="H36"/>
    <hyperlink r:id="rId103" ref="M36"/>
    <hyperlink r:id="rId104" ref="D37"/>
    <hyperlink r:id="rId105" ref="H37"/>
    <hyperlink r:id="rId106" ref="M37"/>
    <hyperlink r:id="rId107" ref="D38"/>
    <hyperlink r:id="rId108" ref="H38"/>
    <hyperlink r:id="rId109" ref="M38"/>
    <hyperlink r:id="rId110" ref="D39"/>
    <hyperlink r:id="rId111" ref="H39"/>
    <hyperlink r:id="rId112" ref="M39"/>
    <hyperlink r:id="rId113" ref="D40"/>
    <hyperlink r:id="rId114" ref="H40"/>
    <hyperlink r:id="rId115" ref="M40"/>
    <hyperlink r:id="rId116" ref="D41"/>
    <hyperlink r:id="rId117" ref="H41"/>
    <hyperlink r:id="rId118" ref="M41"/>
    <hyperlink r:id="rId119" ref="D42"/>
    <hyperlink r:id="rId120" ref="H42"/>
    <hyperlink r:id="rId121" ref="M42"/>
    <hyperlink r:id="rId122" ref="D43"/>
    <hyperlink r:id="rId123" ref="H43"/>
    <hyperlink r:id="rId124" ref="M43"/>
    <hyperlink r:id="rId125" ref="D44"/>
    <hyperlink r:id="rId126" ref="H44"/>
    <hyperlink r:id="rId127" ref="M44"/>
    <hyperlink r:id="rId128" ref="D45"/>
    <hyperlink r:id="rId129" ref="H45"/>
    <hyperlink r:id="rId130" ref="M45"/>
    <hyperlink r:id="rId131" ref="D46"/>
    <hyperlink r:id="rId132" ref="M46"/>
    <hyperlink r:id="rId133" ref="D47"/>
    <hyperlink r:id="rId134" ref="M47"/>
    <hyperlink r:id="rId135" ref="D48"/>
    <hyperlink r:id="rId136" ref="M48"/>
    <hyperlink r:id="rId137" ref="D49"/>
    <hyperlink r:id="rId138" ref="M49"/>
    <hyperlink r:id="rId139" ref="D50"/>
    <hyperlink r:id="rId140" ref="M50"/>
    <hyperlink r:id="rId141" ref="D51"/>
    <hyperlink r:id="rId142" ref="M51"/>
    <hyperlink r:id="rId143" ref="D52"/>
    <hyperlink r:id="rId144" ref="M52"/>
    <hyperlink r:id="rId145" ref="D53"/>
    <hyperlink r:id="rId146" ref="M53"/>
    <hyperlink r:id="rId147" ref="D54"/>
    <hyperlink r:id="rId148" ref="M54"/>
    <hyperlink r:id="rId149" ref="D55"/>
    <hyperlink r:id="rId150" ref="M55"/>
    <hyperlink r:id="rId151" ref="D56"/>
    <hyperlink r:id="rId152" ref="M56"/>
    <hyperlink r:id="rId153" ref="D57"/>
    <hyperlink r:id="rId154" ref="M57"/>
    <hyperlink r:id="rId155" ref="D58"/>
    <hyperlink r:id="rId156" ref="M58"/>
    <hyperlink r:id="rId157" ref="D59"/>
    <hyperlink r:id="rId158" ref="M59"/>
    <hyperlink r:id="rId159" ref="D60"/>
    <hyperlink r:id="rId160" ref="M60"/>
    <hyperlink r:id="rId161" ref="D61"/>
    <hyperlink r:id="rId162" ref="M61"/>
    <hyperlink r:id="rId163" ref="D62"/>
    <hyperlink r:id="rId164" ref="M62"/>
    <hyperlink r:id="rId165" ref="D63"/>
    <hyperlink r:id="rId166" ref="M63"/>
    <hyperlink r:id="rId167" ref="D64"/>
    <hyperlink r:id="rId168" ref="M64"/>
    <hyperlink r:id="rId169" ref="D65"/>
    <hyperlink r:id="rId170" ref="M65"/>
    <hyperlink r:id="rId171" ref="D66"/>
    <hyperlink r:id="rId172" ref="M66"/>
    <hyperlink r:id="rId173" ref="D67"/>
    <hyperlink r:id="rId174" ref="M67"/>
    <hyperlink r:id="rId175" ref="D68"/>
    <hyperlink r:id="rId176" ref="M68"/>
    <hyperlink r:id="rId177" ref="D69"/>
    <hyperlink r:id="rId178" ref="M69"/>
    <hyperlink r:id="rId179" ref="D70"/>
    <hyperlink r:id="rId180" ref="M70"/>
    <hyperlink r:id="rId181" ref="D71"/>
    <hyperlink r:id="rId182" ref="D72"/>
    <hyperlink r:id="rId183" ref="D73"/>
    <hyperlink r:id="rId184" ref="D74"/>
    <hyperlink r:id="rId185" ref="D75"/>
    <hyperlink r:id="rId186" ref="D76"/>
    <hyperlink r:id="rId187" ref="D77"/>
    <hyperlink r:id="rId188" ref="D78"/>
    <hyperlink r:id="rId189" ref="D79"/>
    <hyperlink r:id="rId190" ref="D80"/>
    <hyperlink r:id="rId191" ref="D81"/>
    <hyperlink r:id="rId192" ref="D82"/>
    <hyperlink r:id="rId193" ref="D83"/>
    <hyperlink r:id="rId194" ref="D84"/>
    <hyperlink r:id="rId195" ref="D85"/>
    <hyperlink r:id="rId196" ref="D86"/>
    <hyperlink r:id="rId197" ref="D87"/>
    <hyperlink r:id="rId198" ref="D88"/>
    <hyperlink r:id="rId199" ref="D89"/>
    <hyperlink r:id="rId200" ref="D90"/>
    <hyperlink r:id="rId201" ref="D91"/>
    <hyperlink r:id="rId202" ref="D92"/>
    <hyperlink r:id="rId203" ref="D93"/>
    <hyperlink r:id="rId204" ref="D94"/>
    <hyperlink r:id="rId205" ref="D95"/>
    <hyperlink r:id="rId206" ref="D96"/>
    <hyperlink r:id="rId207" ref="D97"/>
    <hyperlink r:id="rId208" ref="D98"/>
    <hyperlink r:id="rId209" ref="D99"/>
    <hyperlink r:id="rId210" ref="D100"/>
    <hyperlink r:id="rId211" ref="D101"/>
    <hyperlink r:id="rId212" ref="D102"/>
    <hyperlink r:id="rId213" ref="D103"/>
    <hyperlink r:id="rId214" ref="D104"/>
    <hyperlink r:id="rId215" ref="D105"/>
    <hyperlink r:id="rId216" ref="D106"/>
    <hyperlink r:id="rId217" ref="D107"/>
    <hyperlink r:id="rId218" ref="D108"/>
    <hyperlink r:id="rId219" ref="D109"/>
    <hyperlink r:id="rId220" ref="D110"/>
    <hyperlink r:id="rId221" ref="D111"/>
    <hyperlink r:id="rId222" ref="D112"/>
    <hyperlink r:id="rId223" ref="D113"/>
    <hyperlink r:id="rId224" ref="D114"/>
    <hyperlink r:id="rId225" ref="D115"/>
    <hyperlink r:id="rId226" ref="D116"/>
    <hyperlink r:id="rId227" ref="D117"/>
    <hyperlink r:id="rId228" ref="D118"/>
    <hyperlink r:id="rId229" ref="D119"/>
    <hyperlink r:id="rId230" ref="D120"/>
    <hyperlink r:id="rId231" ref="D121"/>
    <hyperlink r:id="rId232" ref="D122"/>
    <hyperlink r:id="rId233" ref="D123"/>
    <hyperlink r:id="rId234" ref="D124"/>
    <hyperlink r:id="rId235" ref="D125"/>
    <hyperlink r:id="rId236" ref="D126"/>
    <hyperlink r:id="rId237" ref="D127"/>
    <hyperlink r:id="rId238" ref="D128"/>
    <hyperlink r:id="rId239" ref="D129"/>
    <hyperlink r:id="rId240" ref="D130"/>
    <hyperlink r:id="rId241" ref="D131"/>
    <hyperlink r:id="rId242" ref="D132"/>
  </hyperlinks>
  <drawing r:id="rId24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18.88"/>
    <col customWidth="1" min="6" max="6" width="22.38"/>
    <col customWidth="1" min="7" max="7" width="11.38"/>
    <col customWidth="1" min="8" max="8" width="43.88"/>
    <col customWidth="1" min="9" max="11" width="0.63"/>
    <col customWidth="1" min="12" max="12" width="11.88"/>
    <col customWidth="1" min="13" max="13" width="48.0"/>
    <col customWidth="1" min="14" max="14" width="20.13"/>
    <col customWidth="1" min="15" max="15" width="22.38"/>
    <col customWidth="1" min="16" max="16" width="11.38"/>
    <col customWidth="1" min="17" max="17" width="43.88"/>
    <col customWidth="1" min="18" max="19" width="0.63"/>
  </cols>
  <sheetData>
    <row r="1" ht="27.75" customHeight="1" outlineLevel="1">
      <c r="A1" s="130"/>
      <c r="B1" s="130"/>
      <c r="C1" s="131" t="s">
        <v>1273</v>
      </c>
      <c r="I1" s="130"/>
      <c r="J1" s="130"/>
      <c r="K1" s="130"/>
      <c r="L1" s="131" t="s">
        <v>1344</v>
      </c>
      <c r="R1" s="130"/>
      <c r="S1" s="130"/>
    </row>
    <row r="2" outlineLevel="1">
      <c r="A2" s="132"/>
      <c r="B2" s="132"/>
      <c r="C2" s="133" t="s">
        <v>1986</v>
      </c>
      <c r="I2" s="132"/>
      <c r="J2" s="132"/>
      <c r="K2" s="132"/>
      <c r="L2" s="133" t="s">
        <v>1986</v>
      </c>
      <c r="R2" s="132"/>
      <c r="S2" s="132"/>
    </row>
    <row r="3" outlineLevel="1">
      <c r="A3" s="134"/>
      <c r="B3" s="134"/>
      <c r="C3" s="135" t="str">
        <f>IFERROR(__xludf.DUMMYFUNCTION("IFERROR(UNIQUE(FILTER('Competency Learning Paths'!N:N,'Competency Learning Paths'!A:A= C1)))"),"Leadership, Leading People, Inspiring Others, Leading Through Vision and Values")</f>
        <v>Leadership, Leading People, Inspiring Others, Leading Through Vision and Values</v>
      </c>
      <c r="I3" s="134"/>
      <c r="J3" s="134"/>
      <c r="K3" s="134"/>
      <c r="L3" s="135" t="str">
        <f>IFERROR(__xludf.DUMMYFUNCTION("IFERROR(UNIQUE(FILTER('Competency Learning Paths'!N:N,'Competency Learning Paths'!A:A= L1)))"),"Directing Others, Directs Work, Managing Others, Delegation, Delegating Responsibility, Managing Direct Reports, Managerial Courage, Managing and Measuring Work, Command Skills, Follow Up ")</f>
        <v>Directing Others, Directs Work, Managing Others, Delegation, Delegating Responsibility, Managing Direct Reports, Managerial Courage, Managing and Measuring Work, Command Skills, Follow Up </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IFERROR(__xludf.DUMMYFUNCTION("""COMPUTED_VALUE"""),2846000.0)</f>
        <v>2846000</v>
      </c>
      <c r="D5" s="142" t="str">
        <f>IFERROR(__xludf.DUMMYFUNCTION("""COMPUTED_VALUE"""),"Privacy for Executives and Aspiring Executives")</f>
        <v>Privacy for Executives and Aspiring Executives</v>
      </c>
      <c r="E5" s="141" t="str">
        <f>IFERROR(__xludf.DUMMYFUNCTION("""COMPUTED_VALUE"""),"C-Suite")</f>
        <v>C-Suite</v>
      </c>
      <c r="F5" s="141" t="str">
        <f>IFERROR(__xludf.DUMMYFUNCTION("""COMPUTED_VALUE"""),"Beginner")</f>
        <v>Beginner</v>
      </c>
      <c r="G5" s="143">
        <f>IFERROR(__xludf.DUMMYFUNCTION("""COMPUTED_VALUE"""),0.044398148148148145)</f>
        <v>0.04439814815</v>
      </c>
      <c r="H5" s="144" t="str">
        <f>IFERROR(__xludf.DUMMYFUNCTION("""COMPUTED_VALUE"""),"Build a Company Learning and Development Program")</f>
        <v>Build a Company Learning and Development Program</v>
      </c>
      <c r="I5" s="140"/>
      <c r="J5" s="140"/>
      <c r="K5" s="140"/>
      <c r="L5" s="141">
        <f>IFERROR(__xludf.DUMMYFUNCTION("""COMPUTED_VALUE"""),772318.0)</f>
        <v>772318</v>
      </c>
      <c r="M5" s="145" t="str">
        <f>IFERROR(__xludf.DUMMYFUNCTION("""COMPUTED_VALUE"""),"Leading the Organization Monthly")</f>
        <v>Leading the Organization Monthly</v>
      </c>
      <c r="N5" s="141" t="str">
        <f>IFERROR(__xludf.DUMMYFUNCTION("""COMPUTED_VALUE"""),"C-Suite")</f>
        <v>C-Suite</v>
      </c>
      <c r="O5" s="141" t="str">
        <f>IFERROR(__xludf.DUMMYFUNCTION("""COMPUTED_VALUE"""),"Advanced")</f>
        <v>Advanced</v>
      </c>
      <c r="P5" s="146">
        <f>IFERROR(__xludf.DUMMYFUNCTION("""COMPUTED_VALUE"""),0.07532407407407407)</f>
        <v>0.07532407407</v>
      </c>
      <c r="Q5" s="144" t="str">
        <f>IFERROR(__xludf.DUMMYFUNCTION("""COMPUTED_VALUE"""),"Advance Your Skills as a Manager")</f>
        <v>Advance Your Skills as a Manager</v>
      </c>
      <c r="R5" s="140"/>
      <c r="S5" s="140"/>
    </row>
    <row r="6" ht="33.75" customHeight="1">
      <c r="A6" s="140"/>
      <c r="B6" s="140"/>
      <c r="C6" s="147">
        <f>IFERROR(__xludf.DUMMYFUNCTION("""COMPUTED_VALUE"""),645018.0)</f>
        <v>645018</v>
      </c>
      <c r="D6" s="148" t="str">
        <f>IFERROR(__xludf.DUMMYFUNCTION("""COMPUTED_VALUE"""),"Ryan Holmes on Social Leadership")</f>
        <v>Ryan Holmes on Social Leadership</v>
      </c>
      <c r="E6" s="147" t="str">
        <f>IFERROR(__xludf.DUMMYFUNCTION("""COMPUTED_VALUE"""),"C-Suite")</f>
        <v>C-Suite</v>
      </c>
      <c r="F6" s="141" t="str">
        <f>IFERROR(__xludf.DUMMYFUNCTION("""COMPUTED_VALUE"""),"General")</f>
        <v>General</v>
      </c>
      <c r="G6" s="143">
        <f>IFERROR(__xludf.DUMMYFUNCTION("""COMPUTED_VALUE"""),0.01056712962962963)</f>
        <v>0.01056712963</v>
      </c>
      <c r="H6" s="149" t="str">
        <f>IFERROR(__xludf.DUMMYFUNCTION("""COMPUTED_VALUE"""),"Become an Inclusive Leader")</f>
        <v>Become an Inclusive Leader</v>
      </c>
      <c r="I6" s="140"/>
      <c r="J6" s="140"/>
      <c r="K6" s="140"/>
      <c r="L6" s="147">
        <f>IFERROR(__xludf.DUMMYFUNCTION("""COMPUTED_VALUE"""),580628.0)</f>
        <v>580628</v>
      </c>
      <c r="M6" s="150" t="str">
        <f>IFERROR(__xludf.DUMMYFUNCTION("""COMPUTED_VALUE"""),"The New Rules of Work")</f>
        <v>The New Rules of Work</v>
      </c>
      <c r="N6" s="147" t="str">
        <f>IFERROR(__xludf.DUMMYFUNCTION("""COMPUTED_VALUE"""),"C-Suite")</f>
        <v>C-Suite</v>
      </c>
      <c r="O6" s="141" t="str">
        <f>IFERROR(__xludf.DUMMYFUNCTION("""COMPUTED_VALUE"""),"Beginner")</f>
        <v>Beginner</v>
      </c>
      <c r="P6" s="146">
        <f>IFERROR(__xludf.DUMMYFUNCTION("""COMPUTED_VALUE"""),0.03782407407407407)</f>
        <v>0.03782407407</v>
      </c>
      <c r="Q6" s="149" t="str">
        <f>IFERROR(__xludf.DUMMYFUNCTION("""COMPUTED_VALUE"""),"Become a Manager")</f>
        <v>Become a Manager</v>
      </c>
      <c r="R6" s="140"/>
      <c r="S6" s="140"/>
    </row>
    <row r="7" ht="33.75" customHeight="1">
      <c r="A7" s="140"/>
      <c r="B7" s="140"/>
      <c r="C7" s="147">
        <f>IFERROR(__xludf.DUMMYFUNCTION("""COMPUTED_VALUE"""),689764.0)</f>
        <v>689764</v>
      </c>
      <c r="D7" s="148" t="str">
        <f>IFERROR(__xludf.DUMMYFUNCTION("""COMPUTED_VALUE"""),"Leadership Stories: 5-Minute Lessons in Leading People")</f>
        <v>Leadership Stories: 5-Minute Lessons in Leading People</v>
      </c>
      <c r="E7" s="147" t="str">
        <f>IFERROR(__xludf.DUMMYFUNCTION("""COMPUTED_VALUE"""),"C-Suite")</f>
        <v>C-Suite</v>
      </c>
      <c r="F7" s="141" t="str">
        <f>IFERROR(__xludf.DUMMYFUNCTION("""COMPUTED_VALUE"""),"General")</f>
        <v>General</v>
      </c>
      <c r="G7" s="143">
        <f>IFERROR(__xludf.DUMMYFUNCTION("""COMPUTED_VALUE"""),0.13275462962962964)</f>
        <v>0.1327546296</v>
      </c>
      <c r="H7" s="149" t="str">
        <f>IFERROR(__xludf.DUMMYFUNCTION("""COMPUTED_VALUE"""),"Become a Leader")</f>
        <v>Become a Leader</v>
      </c>
      <c r="I7" s="140"/>
      <c r="J7" s="140"/>
      <c r="K7" s="140"/>
      <c r="L7" s="147">
        <f>IFERROR(__xludf.DUMMYFUNCTION("""COMPUTED_VALUE"""),664805.0)</f>
        <v>664805</v>
      </c>
      <c r="M7" s="150" t="str">
        <f>IFERROR(__xludf.DUMMYFUNCTION("""COMPUTED_VALUE"""),"Managing Globally")</f>
        <v>Managing Globally</v>
      </c>
      <c r="N7" s="147" t="str">
        <f>IFERROR(__xludf.DUMMYFUNCTION("""COMPUTED_VALUE"""),"C-Suite")</f>
        <v>C-Suite</v>
      </c>
      <c r="O7" s="141" t="str">
        <f>IFERROR(__xludf.DUMMYFUNCTION("""COMPUTED_VALUE"""),"Intermediate")</f>
        <v>Intermediate</v>
      </c>
      <c r="P7" s="146">
        <f>IFERROR(__xludf.DUMMYFUNCTION("""COMPUTED_VALUE"""),0.03311342592592593)</f>
        <v>0.03311342593</v>
      </c>
      <c r="Q7" s="149" t="str">
        <f>IFERROR(__xludf.DUMMYFUNCTION("""COMPUTED_VALUE"""),"Become a Senior Manager")</f>
        <v>Become a Senior Manager</v>
      </c>
      <c r="R7" s="140"/>
      <c r="S7" s="140"/>
    </row>
    <row r="8" ht="33.75" customHeight="1">
      <c r="A8" s="140"/>
      <c r="B8" s="140"/>
      <c r="C8" s="147">
        <f>IFERROR(__xludf.DUMMYFUNCTION("""COMPUTED_VALUE"""),585010.0)</f>
        <v>585010</v>
      </c>
      <c r="D8" s="148" t="str">
        <f>IFERROR(__xludf.DUMMYFUNCTION("""COMPUTED_VALUE"""),"Leading with Innovation")</f>
        <v>Leading with Innovation</v>
      </c>
      <c r="E8" s="147" t="str">
        <f>IFERROR(__xludf.DUMMYFUNCTION("""COMPUTED_VALUE"""),"C-Suite")</f>
        <v>C-Suite</v>
      </c>
      <c r="F8" s="141" t="str">
        <f>IFERROR(__xludf.DUMMYFUNCTION("""COMPUTED_VALUE"""),"Beginner + Intermediate")</f>
        <v>Beginner + Intermediate</v>
      </c>
      <c r="G8" s="143">
        <f>IFERROR(__xludf.DUMMYFUNCTION("""COMPUTED_VALUE"""),0.0635300925925926)</f>
        <v>0.06353009259</v>
      </c>
      <c r="H8" s="149" t="str">
        <f>IFERROR(__xludf.DUMMYFUNCTION("""COMPUTED_VALUE"""),"Become a Thought Leader")</f>
        <v>Become a Thought Leader</v>
      </c>
      <c r="I8" s="140"/>
      <c r="J8" s="140"/>
      <c r="K8" s="140"/>
      <c r="L8" s="147">
        <f>IFERROR(__xludf.DUMMYFUNCTION("""COMPUTED_VALUE"""),536419.0)</f>
        <v>536419</v>
      </c>
      <c r="M8" s="150" t="str">
        <f>IFERROR(__xludf.DUMMYFUNCTION("""COMPUTED_VALUE"""),"Talent Management")</f>
        <v>Talent Management</v>
      </c>
      <c r="N8" s="147" t="str">
        <f>IFERROR(__xludf.DUMMYFUNCTION("""COMPUTED_VALUE"""),"Senior Manager")</f>
        <v>Senior Manager</v>
      </c>
      <c r="O8" s="141" t="str">
        <f>IFERROR(__xludf.DUMMYFUNCTION("""COMPUTED_VALUE"""),"Beginner")</f>
        <v>Beginner</v>
      </c>
      <c r="P8" s="146">
        <f>IFERROR(__xludf.DUMMYFUNCTION("""COMPUTED_VALUE"""),0.02732638888888889)</f>
        <v>0.02732638889</v>
      </c>
      <c r="Q8" s="149" t="str">
        <f>IFERROR(__xludf.DUMMYFUNCTION("""COMPUTED_VALUE"""),"Develop, Motivate, and Retain Employees")</f>
        <v>Develop, Motivate, and Retain Employees</v>
      </c>
      <c r="R8" s="140"/>
      <c r="S8" s="140"/>
    </row>
    <row r="9" ht="33.75" customHeight="1">
      <c r="A9" s="140"/>
      <c r="B9" s="140"/>
      <c r="C9" s="147">
        <f>IFERROR(__xludf.DUMMYFUNCTION("""COMPUTED_VALUE"""),645013.0)</f>
        <v>645013</v>
      </c>
      <c r="D9" s="148" t="str">
        <f>IFERROR(__xludf.DUMMYFUNCTION("""COMPUTED_VALUE"""),"Inclusive Leadership")</f>
        <v>Inclusive Leadership</v>
      </c>
      <c r="E9" s="147" t="str">
        <f>IFERROR(__xludf.DUMMYFUNCTION("""COMPUTED_VALUE"""),"C-Suite")</f>
        <v>C-Suite</v>
      </c>
      <c r="F9" s="141" t="str">
        <f>IFERROR(__xludf.DUMMYFUNCTION("""COMPUTED_VALUE"""),"Intermediate")</f>
        <v>Intermediate</v>
      </c>
      <c r="G9" s="143">
        <f>IFERROR(__xludf.DUMMYFUNCTION("""COMPUTED_VALUE"""),0.04212962962962963)</f>
        <v>0.04212962963</v>
      </c>
      <c r="H9" s="149" t="str">
        <f>IFERROR(__xludf.DUMMYFUNCTION("""COMPUTED_VALUE"""),"Diversity, Inclusion, and Belonging for Leaders and Managers")</f>
        <v>Diversity, Inclusion, and Belonging for Leaders and Managers</v>
      </c>
      <c r="I9" s="140"/>
      <c r="J9" s="140"/>
      <c r="K9" s="140"/>
      <c r="L9" s="147">
        <f>IFERROR(__xludf.DUMMYFUNCTION("""COMPUTED_VALUE"""),2825161.0)</f>
        <v>2825161</v>
      </c>
      <c r="M9" s="148" t="str">
        <f>IFERROR(__xludf.DUMMYFUNCTION("""COMPUTED_VALUE"""),"Goal Setting: Objectives and Key Results (OKRs)")</f>
        <v>Goal Setting: Objectives and Key Results (OKRs)</v>
      </c>
      <c r="N9" s="147" t="str">
        <f>IFERROR(__xludf.DUMMYFUNCTION("""COMPUTED_VALUE"""),"Senior Manager")</f>
        <v>Senior Manager</v>
      </c>
      <c r="O9" s="141" t="str">
        <f>IFERROR(__xludf.DUMMYFUNCTION("""COMPUTED_VALUE"""),"Beginner + Intermediate")</f>
        <v>Beginner + Intermediate</v>
      </c>
      <c r="P9" s="143">
        <f>IFERROR(__xludf.DUMMYFUNCTION("""COMPUTED_VALUE"""),0.023680555555555555)</f>
        <v>0.02368055556</v>
      </c>
      <c r="Q9" s="149" t="str">
        <f>IFERROR(__xludf.DUMMYFUNCTION("""COMPUTED_VALUE"""),"Grow Your Impact as a Mentor")</f>
        <v>Grow Your Impact as a Mentor</v>
      </c>
      <c r="R9" s="140"/>
      <c r="S9" s="140"/>
    </row>
    <row r="10" ht="33.75" customHeight="1">
      <c r="A10" s="140"/>
      <c r="B10" s="140"/>
      <c r="C10" s="147">
        <f>IFERROR(__xludf.DUMMYFUNCTION("""COMPUTED_VALUE"""),797722.0)</f>
        <v>797722</v>
      </c>
      <c r="D10" s="148" t="str">
        <f>IFERROR(__xludf.DUMMYFUNCTION("""COMPUTED_VALUE"""),"Doing Good to Build a Profitable Business")</f>
        <v>Doing Good to Build a Profitable Business</v>
      </c>
      <c r="E10" s="147" t="str">
        <f>IFERROR(__xludf.DUMMYFUNCTION("""COMPUTED_VALUE"""),"C-Suite")</f>
        <v>C-Suite</v>
      </c>
      <c r="F10" s="141" t="str">
        <f>IFERROR(__xludf.DUMMYFUNCTION("""COMPUTED_VALUE"""),"Intermediate")</f>
        <v>Intermediate</v>
      </c>
      <c r="G10" s="143">
        <f>IFERROR(__xludf.DUMMYFUNCTION("""COMPUTED_VALUE"""),0.030983796296296297)</f>
        <v>0.0309837963</v>
      </c>
      <c r="H10" s="158" t="str">
        <f>IFERROR(__xludf.DUMMYFUNCTION("""COMPUTED_VALUE"""),"Leading Others Effectively")</f>
        <v>Leading Others Effectively</v>
      </c>
      <c r="I10" s="140"/>
      <c r="J10" s="140"/>
      <c r="K10" s="140"/>
      <c r="L10" s="147">
        <f>IFERROR(__xludf.DUMMYFUNCTION("""COMPUTED_VALUE"""),672234.0)</f>
        <v>672234</v>
      </c>
      <c r="M10" s="148" t="str">
        <f>IFERROR(__xludf.DUMMYFUNCTION("""COMPUTED_VALUE"""),"Creating the Conditions for Others to Thrive")</f>
        <v>Creating the Conditions for Others to Thrive</v>
      </c>
      <c r="N10" s="147" t="str">
        <f>IFERROR(__xludf.DUMMYFUNCTION("""COMPUTED_VALUE"""),"Senior Manager")</f>
        <v>Senior Manager</v>
      </c>
      <c r="O10" s="141" t="str">
        <f>IFERROR(__xludf.DUMMYFUNCTION("""COMPUTED_VALUE"""),"Intermediate")</f>
        <v>Intermediate</v>
      </c>
      <c r="P10" s="143">
        <f>IFERROR(__xludf.DUMMYFUNCTION("""COMPUTED_VALUE"""),0.020902777777777777)</f>
        <v>0.02090277778</v>
      </c>
      <c r="Q10" s="158" t="str">
        <f>IFERROR(__xludf.DUMMYFUNCTION("""COMPUTED_VALUE"""),"Improve Your Coaching Skills as a Manager")</f>
        <v>Improve Your Coaching Skills as a Manager</v>
      </c>
      <c r="R10" s="140"/>
      <c r="S10" s="140"/>
    </row>
    <row r="11" ht="33.75" customHeight="1">
      <c r="A11" s="140"/>
      <c r="B11" s="140"/>
      <c r="C11" s="147">
        <f>IFERROR(__xludf.DUMMYFUNCTION("""COMPUTED_VALUE"""),5015886.0)</f>
        <v>5015886</v>
      </c>
      <c r="D11" s="148" t="str">
        <f>IFERROR(__xludf.DUMMYFUNCTION("""COMPUTED_VALUE"""),"Good to Great: Why Some Companies Make the Leap and Others Don't (Blinkist Summary)")</f>
        <v>Good to Great: Why Some Companies Make the Leap and Others Don't (Blinkist Summary)</v>
      </c>
      <c r="E11" s="147" t="str">
        <f>IFERROR(__xludf.DUMMYFUNCTION("""COMPUTED_VALUE"""),"C-Suite")</f>
        <v>C-Suite</v>
      </c>
      <c r="F11" s="141" t="str">
        <f>IFERROR(__xludf.DUMMYFUNCTION("""COMPUTED_VALUE"""),"Intermediate")</f>
        <v>Intermediate</v>
      </c>
      <c r="G11" s="143">
        <f>IFERROR(__xludf.DUMMYFUNCTION("""COMPUTED_VALUE"""),0.010231481481481482)</f>
        <v>0.01023148148</v>
      </c>
      <c r="H11" s="149" t="str">
        <f>IFERROR(__xludf.DUMMYFUNCTION("""COMPUTED_VALUE"""),"Manager to Leader")</f>
        <v>Manager to Leader</v>
      </c>
      <c r="I11" s="140"/>
      <c r="J11" s="140"/>
      <c r="K11" s="140"/>
      <c r="L11" s="147">
        <f>IFERROR(__xludf.DUMMYFUNCTION("""COMPUTED_VALUE"""),700792.0)</f>
        <v>700792</v>
      </c>
      <c r="M11" s="148" t="str">
        <f>IFERROR(__xludf.DUMMYFUNCTION("""COMPUTED_VALUE"""),"Employee Experience")</f>
        <v>Employee Experience</v>
      </c>
      <c r="N11" s="147" t="str">
        <f>IFERROR(__xludf.DUMMYFUNCTION("""COMPUTED_VALUE"""),"Senior Manager")</f>
        <v>Senior Manager</v>
      </c>
      <c r="O11" s="141" t="str">
        <f>IFERROR(__xludf.DUMMYFUNCTION("""COMPUTED_VALUE"""),"Intermediate")</f>
        <v>Intermediate</v>
      </c>
      <c r="P11" s="143">
        <f>IFERROR(__xludf.DUMMYFUNCTION("""COMPUTED_VALUE"""),0.025138888888888888)</f>
        <v>0.02513888889</v>
      </c>
      <c r="Q11" s="149" t="str">
        <f>IFERROR(__xludf.DUMMYFUNCTION("""COMPUTED_VALUE"""),"Managing and Leading Developers")</f>
        <v>Managing and Leading Developers</v>
      </c>
      <c r="R11" s="140"/>
      <c r="S11" s="140"/>
    </row>
    <row r="12" ht="33.75" customHeight="1">
      <c r="A12" s="140"/>
      <c r="B12" s="140"/>
      <c r="C12" s="147">
        <f>IFERROR(__xludf.DUMMYFUNCTION("""COMPUTED_VALUE"""),2817144.0)</f>
        <v>2817144</v>
      </c>
      <c r="D12" s="148" t="str">
        <f>IFERROR(__xludf.DUMMYFUNCTION("""COMPUTED_VALUE"""),"Lean Technology Strategy: Purposeful Organizations")</f>
        <v>Lean Technology Strategy: Purposeful Organizations</v>
      </c>
      <c r="E12" s="147" t="str">
        <f>IFERROR(__xludf.DUMMYFUNCTION("""COMPUTED_VALUE"""),"C-Suite")</f>
        <v>C-Suite</v>
      </c>
      <c r="F12" s="141" t="str">
        <f>IFERROR(__xludf.DUMMYFUNCTION("""COMPUTED_VALUE"""),"Intermediate")</f>
        <v>Intermediate</v>
      </c>
      <c r="G12" s="143">
        <f>IFERROR(__xludf.DUMMYFUNCTION("""COMPUTED_VALUE"""),0.015844907407407408)</f>
        <v>0.01584490741</v>
      </c>
      <c r="H12" s="149" t="str">
        <f>IFERROR(__xludf.DUMMYFUNCTION("""COMPUTED_VALUE"""),"Master In-Demand Skills for Technology Leadership")</f>
        <v>Master In-Demand Skills for Technology Leadership</v>
      </c>
      <c r="I12" s="140"/>
      <c r="J12" s="140"/>
      <c r="K12" s="140"/>
      <c r="L12" s="147">
        <f>IFERROR(__xludf.DUMMYFUNCTION("""COMPUTED_VALUE"""),565364.0)</f>
        <v>565364</v>
      </c>
      <c r="M12" s="148" t="str">
        <f>IFERROR(__xludf.DUMMYFUNCTION("""COMPUTED_VALUE"""),"Managing New Managers")</f>
        <v>Managing New Managers</v>
      </c>
      <c r="N12" s="147" t="str">
        <f>IFERROR(__xludf.DUMMYFUNCTION("""COMPUTED_VALUE"""),"Senior Manager")</f>
        <v>Senior Manager</v>
      </c>
      <c r="O12" s="141" t="str">
        <f>IFERROR(__xludf.DUMMYFUNCTION("""COMPUTED_VALUE"""),"Intermediate")</f>
        <v>Intermediate</v>
      </c>
      <c r="P12" s="143">
        <f>IFERROR(__xludf.DUMMYFUNCTION("""COMPUTED_VALUE"""),0.01412037037037037)</f>
        <v>0.01412037037</v>
      </c>
      <c r="Q12" s="149" t="str">
        <f>IFERROR(__xludf.DUMMYFUNCTION("""COMPUTED_VALUE"""),"Managing Others Effectively ")</f>
        <v>Managing Others Effectively </v>
      </c>
      <c r="R12" s="140"/>
      <c r="S12" s="140"/>
    </row>
    <row r="13" ht="33.75" customHeight="1">
      <c r="A13" s="140"/>
      <c r="B13" s="140"/>
      <c r="C13" s="147">
        <f>IFERROR(__xludf.DUMMYFUNCTION("""COMPUTED_VALUE"""),2806194.0)</f>
        <v>2806194</v>
      </c>
      <c r="D13" s="148" t="str">
        <f>IFERROR(__xludf.DUMMYFUNCTION("""COMPUTED_VALUE"""),"Counterintuitive Leadership Strategies for a VUCA (Volatile, Uncertain, Complex, Ambiguous) Environment")</f>
        <v>Counterintuitive Leadership Strategies for a VUCA (Volatile, Uncertain, Complex, Ambiguous) Environment</v>
      </c>
      <c r="E13" s="147" t="str">
        <f>IFERROR(__xludf.DUMMYFUNCTION("""COMPUTED_VALUE"""),"C-Suite")</f>
        <v>C-Suite</v>
      </c>
      <c r="F13" s="141" t="str">
        <f>IFERROR(__xludf.DUMMYFUNCTION("""COMPUTED_VALUE"""),"Advanced")</f>
        <v>Advanced</v>
      </c>
      <c r="G13" s="143">
        <f>IFERROR(__xludf.DUMMYFUNCTION("""COMPUTED_VALUE"""),0.040150462962962964)</f>
        <v>0.04015046296</v>
      </c>
      <c r="H13" s="158" t="str">
        <f>IFERROR(__xludf.DUMMYFUNCTION("""COMPUTED_VALUE"""),"Remote Working: Setting Yourself and Your Teams Up for Success")</f>
        <v>Remote Working: Setting Yourself and Your Teams Up for Success</v>
      </c>
      <c r="I13" s="140"/>
      <c r="J13" s="140"/>
      <c r="K13" s="140"/>
      <c r="L13" s="147">
        <f>IFERROR(__xludf.DUMMYFUNCTION("""COMPUTED_VALUE"""),3107154.0)</f>
        <v>3107154</v>
      </c>
      <c r="M13" s="148" t="str">
        <f>IFERROR(__xludf.DUMMYFUNCTION("""COMPUTED_VALUE"""),"Coaching New Managers")</f>
        <v>Coaching New Managers</v>
      </c>
      <c r="N13" s="147" t="str">
        <f>IFERROR(__xludf.DUMMYFUNCTION("""COMPUTED_VALUE"""),"Senior Manager")</f>
        <v>Senior Manager</v>
      </c>
      <c r="O13" s="141" t="str">
        <f>IFERROR(__xludf.DUMMYFUNCTION("""COMPUTED_VALUE"""),"Intermediate")</f>
        <v>Intermediate</v>
      </c>
      <c r="P13" s="143">
        <f>IFERROR(__xludf.DUMMYFUNCTION("""COMPUTED_VALUE"""),0.021064814814814814)</f>
        <v>0.02106481481</v>
      </c>
      <c r="Q13" s="158" t="str">
        <f>IFERROR(__xludf.DUMMYFUNCTION("""COMPUTED_VALUE"""),"Managing Performance")</f>
        <v>Managing Performance</v>
      </c>
      <c r="R13" s="140"/>
      <c r="S13" s="140"/>
    </row>
    <row r="14" ht="33.75" customHeight="1">
      <c r="A14" s="140"/>
      <c r="B14" s="140"/>
      <c r="C14" s="147">
        <f>IFERROR(__xludf.DUMMYFUNCTION("""COMPUTED_VALUE"""),758617.0)</f>
        <v>758617</v>
      </c>
      <c r="D14" s="148" t="str">
        <f>IFERROR(__xludf.DUMMYFUNCTION("""COMPUTED_VALUE"""),"Leading Change")</f>
        <v>Leading Change</v>
      </c>
      <c r="E14" s="147" t="str">
        <f>IFERROR(__xludf.DUMMYFUNCTION("""COMPUTED_VALUE"""),"C-Suite")</f>
        <v>C-Suite</v>
      </c>
      <c r="F14" s="141" t="str">
        <f>IFERROR(__xludf.DUMMYFUNCTION("""COMPUTED_VALUE"""),"Advanced")</f>
        <v>Advanced</v>
      </c>
      <c r="G14" s="143">
        <f>IFERROR(__xludf.DUMMYFUNCTION("""COMPUTED_VALUE"""),0.05005787037037037)</f>
        <v>0.05005787037</v>
      </c>
      <c r="H14" s="151"/>
      <c r="I14" s="140"/>
      <c r="J14" s="140"/>
      <c r="K14" s="140"/>
      <c r="L14" s="147">
        <f>IFERROR(__xludf.DUMMYFUNCTION("""COMPUTED_VALUE"""),456353.0)</f>
        <v>456353</v>
      </c>
      <c r="M14" s="148" t="str">
        <f>IFERROR(__xludf.DUMMYFUNCTION("""COMPUTED_VALUE"""),"Setting Team and Employee Goals Using SMART Methodology")</f>
        <v>Setting Team and Employee Goals Using SMART Methodology</v>
      </c>
      <c r="N14" s="147" t="str">
        <f>IFERROR(__xludf.DUMMYFUNCTION("""COMPUTED_VALUE"""),"Manager")</f>
        <v>Manager</v>
      </c>
      <c r="O14" s="141" t="str">
        <f>IFERROR(__xludf.DUMMYFUNCTION("""COMPUTED_VALUE"""),"Beginner")</f>
        <v>Beginner</v>
      </c>
      <c r="P14" s="143">
        <f>IFERROR(__xludf.DUMMYFUNCTION("""COMPUTED_VALUE"""),0.03857638888888889)</f>
        <v>0.03857638889</v>
      </c>
      <c r="Q14" s="149" t="str">
        <f>IFERROR(__xludf.DUMMYFUNCTION("""COMPUTED_VALUE"""),"Master In-Demand Professional Soft Skills")</f>
        <v>Master In-Demand Professional Soft Skills</v>
      </c>
      <c r="R14" s="140"/>
      <c r="S14" s="140"/>
    </row>
    <row r="15" ht="33.75" customHeight="1">
      <c r="A15" s="140"/>
      <c r="B15" s="140"/>
      <c r="C15" s="147">
        <f>IFERROR(__xludf.DUMMYFUNCTION("""COMPUTED_VALUE"""),2822090.0)</f>
        <v>2822090</v>
      </c>
      <c r="D15" s="148" t="str">
        <f>IFERROR(__xludf.DUMMYFUNCTION("""COMPUTED_VALUE"""),"Vision in Action: Leaders Live Case Studies")</f>
        <v>Vision in Action: Leaders Live Case Studies</v>
      </c>
      <c r="E15" s="147" t="str">
        <f>IFERROR(__xludf.DUMMYFUNCTION("""COMPUTED_VALUE"""),"C-Suite")</f>
        <v>C-Suite</v>
      </c>
      <c r="F15" s="141" t="str">
        <f>IFERROR(__xludf.DUMMYFUNCTION("""COMPUTED_VALUE"""),"Advanced")</f>
        <v>Advanced</v>
      </c>
      <c r="G15" s="143">
        <f>IFERROR(__xludf.DUMMYFUNCTION("""COMPUTED_VALUE"""),0.018969907407407408)</f>
        <v>0.01896990741</v>
      </c>
      <c r="H15" s="151"/>
      <c r="I15" s="140"/>
      <c r="J15" s="140"/>
      <c r="K15" s="140"/>
      <c r="L15" s="147">
        <f>IFERROR(__xludf.DUMMYFUNCTION("""COMPUTED_VALUE"""),2822314.0)</f>
        <v>2822314</v>
      </c>
      <c r="M15" s="148" t="str">
        <f>IFERROR(__xludf.DUMMYFUNCTION("""COMPUTED_VALUE"""),"How to Give and Receive Useful Feedback Every Month")</f>
        <v>How to Give and Receive Useful Feedback Every Month</v>
      </c>
      <c r="N15" s="147" t="str">
        <f>IFERROR(__xludf.DUMMYFUNCTION("""COMPUTED_VALUE"""),"Manager")</f>
        <v>Manager</v>
      </c>
      <c r="O15" s="141" t="str">
        <f>IFERROR(__xludf.DUMMYFUNCTION("""COMPUTED_VALUE"""),"Beginner")</f>
        <v>Beginner</v>
      </c>
      <c r="P15" s="143">
        <f>IFERROR(__xludf.DUMMYFUNCTION("""COMPUTED_VALUE"""),0.01792824074074074)</f>
        <v>0.01792824074</v>
      </c>
      <c r="Q15" s="151"/>
      <c r="R15" s="140"/>
      <c r="S15" s="140"/>
    </row>
    <row r="16" ht="33.75" customHeight="1">
      <c r="A16" s="140"/>
      <c r="B16" s="140"/>
      <c r="C16" s="147">
        <f>IFERROR(__xludf.DUMMYFUNCTION("""COMPUTED_VALUE"""),772318.0)</f>
        <v>772318</v>
      </c>
      <c r="D16" s="148" t="str">
        <f>IFERROR(__xludf.DUMMYFUNCTION("""COMPUTED_VALUE"""),"Leading the Organization Monthly")</f>
        <v>Leading the Organization Monthly</v>
      </c>
      <c r="E16" s="147" t="str">
        <f>IFERROR(__xludf.DUMMYFUNCTION("""COMPUTED_VALUE"""),"C-Suite")</f>
        <v>C-Suite</v>
      </c>
      <c r="F16" s="141" t="str">
        <f>IFERROR(__xludf.DUMMYFUNCTION("""COMPUTED_VALUE"""),"Advanced")</f>
        <v>Advanced</v>
      </c>
      <c r="G16" s="143">
        <f>IFERROR(__xludf.DUMMYFUNCTION("""COMPUTED_VALUE"""),0.07532407407407407)</f>
        <v>0.07532407407</v>
      </c>
      <c r="H16" s="151"/>
      <c r="I16" s="140"/>
      <c r="J16" s="140"/>
      <c r="K16" s="140"/>
      <c r="L16" s="147">
        <f>IFERROR(__xludf.DUMMYFUNCTION("""COMPUTED_VALUE"""),2824174.0)</f>
        <v>2824174</v>
      </c>
      <c r="M16" s="148" t="str">
        <f>IFERROR(__xludf.DUMMYFUNCTION("""COMPUTED_VALUE"""),"Simple Manager Tools that Cure the Under-Management Epidemic")</f>
        <v>Simple Manager Tools that Cure the Under-Management Epidemic</v>
      </c>
      <c r="N16" s="147" t="str">
        <f>IFERROR(__xludf.DUMMYFUNCTION("""COMPUTED_VALUE"""),"Manager")</f>
        <v>Manager</v>
      </c>
      <c r="O16" s="141" t="str">
        <f>IFERROR(__xludf.DUMMYFUNCTION("""COMPUTED_VALUE"""),"Beginner")</f>
        <v>Beginner</v>
      </c>
      <c r="P16" s="143">
        <f>IFERROR(__xludf.DUMMYFUNCTION("""COMPUTED_VALUE"""),0.01894675925925926)</f>
        <v>0.01894675926</v>
      </c>
      <c r="Q16" s="151"/>
      <c r="R16" s="140"/>
      <c r="S16" s="140"/>
    </row>
    <row r="17" ht="33.75" customHeight="1">
      <c r="A17" s="140"/>
      <c r="B17" s="140"/>
      <c r="C17" s="147">
        <f>IFERROR(__xludf.DUMMYFUNCTION("""COMPUTED_VALUE"""),693107.0)</f>
        <v>693107</v>
      </c>
      <c r="D17" s="148" t="str">
        <f>IFERROR(__xludf.DUMMYFUNCTION("""COMPUTED_VALUE"""),"CMO Foundations: Working with Leadership and Board-of-Directors")</f>
        <v>CMO Foundations: Working with Leadership and Board-of-Directors</v>
      </c>
      <c r="E17" s="147" t="str">
        <f>IFERROR(__xludf.DUMMYFUNCTION("""COMPUTED_VALUE"""),"C-Suite")</f>
        <v>C-Suite</v>
      </c>
      <c r="F17" s="141" t="str">
        <f>IFERROR(__xludf.DUMMYFUNCTION("""COMPUTED_VALUE"""),"Advanced")</f>
        <v>Advanced</v>
      </c>
      <c r="G17" s="143">
        <f>IFERROR(__xludf.DUMMYFUNCTION("""COMPUTED_VALUE"""),0.033414351851851855)</f>
        <v>0.03341435185</v>
      </c>
      <c r="H17" s="151"/>
      <c r="I17" s="140"/>
      <c r="J17" s="140"/>
      <c r="K17" s="140"/>
      <c r="L17" s="147">
        <f>IFERROR(__xludf.DUMMYFUNCTION("""COMPUTED_VALUE"""),2823296.0)</f>
        <v>2823296</v>
      </c>
      <c r="M17" s="148" t="str">
        <f>IFERROR(__xludf.DUMMYFUNCTION("""COMPUTED_VALUE"""),"Implementing Continuous Improvement: A Case Study")</f>
        <v>Implementing Continuous Improvement: A Case Study</v>
      </c>
      <c r="N17" s="147" t="str">
        <f>IFERROR(__xludf.DUMMYFUNCTION("""COMPUTED_VALUE"""),"Manager")</f>
        <v>Manager</v>
      </c>
      <c r="O17" s="141" t="str">
        <f>IFERROR(__xludf.DUMMYFUNCTION("""COMPUTED_VALUE"""),"Beginner")</f>
        <v>Beginner</v>
      </c>
      <c r="P17" s="143">
        <f>IFERROR(__xludf.DUMMYFUNCTION("""COMPUTED_VALUE"""),0.09167824074074074)</f>
        <v>0.09167824074</v>
      </c>
      <c r="Q17" s="151"/>
      <c r="R17" s="140"/>
      <c r="S17" s="140"/>
    </row>
    <row r="18" ht="33.75" customHeight="1">
      <c r="A18" s="140"/>
      <c r="B18" s="140"/>
      <c r="C18" s="147">
        <f>IFERROR(__xludf.DUMMYFUNCTION("""COMPUTED_VALUE"""),2241053.0)</f>
        <v>2241053</v>
      </c>
      <c r="D18" s="148" t="str">
        <f>IFERROR(__xludf.DUMMYFUNCTION("""COMPUTED_VALUE"""),"Leading Organizations: Ten Timeless Truths (getAbstract Summary)")</f>
        <v>Leading Organizations: Ten Timeless Truths (getAbstract Summary)</v>
      </c>
      <c r="E18" s="147" t="str">
        <f>IFERROR(__xludf.DUMMYFUNCTION("""COMPUTED_VALUE"""),"C-Suite")</f>
        <v>C-Suite</v>
      </c>
      <c r="F18" s="141" t="str">
        <f>IFERROR(__xludf.DUMMYFUNCTION("""COMPUTED_VALUE"""),"General")</f>
        <v>General</v>
      </c>
      <c r="G18" s="143">
        <f>IFERROR(__xludf.DUMMYFUNCTION("""COMPUTED_VALUE"""),0.009641203703703704)</f>
        <v>0.009641203704</v>
      </c>
      <c r="H18" s="151"/>
      <c r="I18" s="140"/>
      <c r="J18" s="140"/>
      <c r="K18" s="140"/>
      <c r="L18" s="147">
        <f>IFERROR(__xludf.DUMMYFUNCTION("""COMPUTED_VALUE"""),2823297.0)</f>
        <v>2823297</v>
      </c>
      <c r="M18" s="148" t="str">
        <f>IFERROR(__xludf.DUMMYFUNCTION("""COMPUTED_VALUE"""),"Culture of Kaizen")</f>
        <v>Culture of Kaizen</v>
      </c>
      <c r="N18" s="147" t="str">
        <f>IFERROR(__xludf.DUMMYFUNCTION("""COMPUTED_VALUE"""),"Manager")</f>
        <v>Manager</v>
      </c>
      <c r="O18" s="141" t="str">
        <f>IFERROR(__xludf.DUMMYFUNCTION("""COMPUTED_VALUE"""),"Beginner")</f>
        <v>Beginner</v>
      </c>
      <c r="P18" s="143">
        <f>IFERROR(__xludf.DUMMYFUNCTION("""COMPUTED_VALUE"""),0.06542824074074075)</f>
        <v>0.06542824074</v>
      </c>
      <c r="Q18" s="151"/>
      <c r="R18" s="140"/>
      <c r="S18" s="140"/>
    </row>
    <row r="19" ht="33.75" customHeight="1">
      <c r="A19" s="140"/>
      <c r="B19" s="140"/>
      <c r="C19" s="147">
        <f>IFERROR(__xludf.DUMMYFUNCTION("""COMPUTED_VALUE"""),2425608.0)</f>
        <v>2425608</v>
      </c>
      <c r="D19" s="148" t="str">
        <f>IFERROR(__xludf.DUMMYFUNCTION("""COMPUTED_VALUE"""),"The 7 Secrets of Responsive Leadership (getAbstract Summary)")</f>
        <v>The 7 Secrets of Responsive Leadership (getAbstract Summary)</v>
      </c>
      <c r="E19" s="147" t="str">
        <f>IFERROR(__xludf.DUMMYFUNCTION("""COMPUTED_VALUE"""),"Senior Manager")</f>
        <v>Senior Manager</v>
      </c>
      <c r="F19" s="141" t="str">
        <f>IFERROR(__xludf.DUMMYFUNCTION("""COMPUTED_VALUE"""),"Beginner")</f>
        <v>Beginner</v>
      </c>
      <c r="G19" s="143">
        <f>IFERROR(__xludf.DUMMYFUNCTION("""COMPUTED_VALUE"""),0.010416666666666666)</f>
        <v>0.01041666667</v>
      </c>
      <c r="H19" s="151"/>
      <c r="I19" s="140"/>
      <c r="J19" s="140"/>
      <c r="K19" s="140"/>
      <c r="L19" s="147">
        <f>IFERROR(__xludf.DUMMYFUNCTION("""COMPUTED_VALUE"""),2880017.0)</f>
        <v>2880017</v>
      </c>
      <c r="M19" s="148" t="str">
        <f>IFERROR(__xludf.DUMMYFUNCTION("""COMPUTED_VALUE"""),"Managers as Multipliers of Well-Being")</f>
        <v>Managers as Multipliers of Well-Being</v>
      </c>
      <c r="N19" s="147" t="str">
        <f>IFERROR(__xludf.DUMMYFUNCTION("""COMPUTED_VALUE"""),"Manager")</f>
        <v>Manager</v>
      </c>
      <c r="O19" s="141" t="str">
        <f>IFERROR(__xludf.DUMMYFUNCTION("""COMPUTED_VALUE"""),"Beginner")</f>
        <v>Beginner</v>
      </c>
      <c r="P19" s="143">
        <f>IFERROR(__xludf.DUMMYFUNCTION("""COMPUTED_VALUE"""),0.026539351851851852)</f>
        <v>0.02653935185</v>
      </c>
      <c r="Q19" s="151"/>
      <c r="R19" s="140"/>
      <c r="S19" s="140"/>
    </row>
    <row r="20" ht="33.75" customHeight="1">
      <c r="A20" s="140"/>
      <c r="B20" s="140"/>
      <c r="C20" s="147">
        <f>IFERROR(__xludf.DUMMYFUNCTION("""COMPUTED_VALUE"""),518758.0)</f>
        <v>518758</v>
      </c>
      <c r="D20" s="148" t="str">
        <f>IFERROR(__xludf.DUMMYFUNCTION("""COMPUTED_VALUE"""),"Transitioning from Manager to Leader")</f>
        <v>Transitioning from Manager to Leader</v>
      </c>
      <c r="E20" s="147" t="str">
        <f>IFERROR(__xludf.DUMMYFUNCTION("""COMPUTED_VALUE"""),"Senior Manager")</f>
        <v>Senior Manager</v>
      </c>
      <c r="F20" s="141" t="str">
        <f>IFERROR(__xludf.DUMMYFUNCTION("""COMPUTED_VALUE"""),"Beginner + Intermediate")</f>
        <v>Beginner + Intermediate</v>
      </c>
      <c r="G20" s="143">
        <f>IFERROR(__xludf.DUMMYFUNCTION("""COMPUTED_VALUE"""),0.0412037037037037)</f>
        <v>0.0412037037</v>
      </c>
      <c r="H20" s="151"/>
      <c r="I20" s="140"/>
      <c r="J20" s="140"/>
      <c r="K20" s="140"/>
      <c r="L20" s="147">
        <f>IFERROR(__xludf.DUMMYFUNCTION("""COMPUTED_VALUE"""),3155788.0)</f>
        <v>3155788</v>
      </c>
      <c r="M20" s="148" t="str">
        <f>IFERROR(__xludf.DUMMYFUNCTION("""COMPUTED_VALUE"""),"Motivate Remote Teams")</f>
        <v>Motivate Remote Teams</v>
      </c>
      <c r="N20" s="147" t="str">
        <f>IFERROR(__xludf.DUMMYFUNCTION("""COMPUTED_VALUE"""),"Manager")</f>
        <v>Manager</v>
      </c>
      <c r="O20" s="141" t="str">
        <f>IFERROR(__xludf.DUMMYFUNCTION("""COMPUTED_VALUE"""),"Beginner")</f>
        <v>Beginner</v>
      </c>
      <c r="P20" s="143">
        <f>IFERROR(__xludf.DUMMYFUNCTION("""COMPUTED_VALUE"""),0.1119212962962963)</f>
        <v>0.1119212963</v>
      </c>
      <c r="Q20" s="151"/>
      <c r="R20" s="140"/>
      <c r="S20" s="140"/>
    </row>
    <row r="21" ht="33.75" customHeight="1">
      <c r="A21" s="140"/>
      <c r="B21" s="140"/>
      <c r="C21" s="147">
        <f>IFERROR(__xludf.DUMMYFUNCTION("""COMPUTED_VALUE"""),777382.0)</f>
        <v>777382</v>
      </c>
      <c r="D21" s="148" t="str">
        <f>IFERROR(__xludf.DUMMYFUNCTION("""COMPUTED_VALUE"""),"Transformational Leadership")</f>
        <v>Transformational Leadership</v>
      </c>
      <c r="E21" s="147" t="str">
        <f>IFERROR(__xludf.DUMMYFUNCTION("""COMPUTED_VALUE"""),"Senior Manager")</f>
        <v>Senior Manager</v>
      </c>
      <c r="F21" s="141" t="str">
        <f>IFERROR(__xludf.DUMMYFUNCTION("""COMPUTED_VALUE"""),"Beginner + Intermediate")</f>
        <v>Beginner + Intermediate</v>
      </c>
      <c r="G21" s="143">
        <f>IFERROR(__xludf.DUMMYFUNCTION("""COMPUTED_VALUE"""),0.04711805555555556)</f>
        <v>0.04711805556</v>
      </c>
      <c r="H21" s="151"/>
      <c r="I21" s="140"/>
      <c r="J21" s="140"/>
      <c r="K21" s="140"/>
      <c r="L21" s="147">
        <f>IFERROR(__xludf.DUMMYFUNCTION("""COMPUTED_VALUE"""),2424735.0)</f>
        <v>2424735</v>
      </c>
      <c r="M21" s="148" t="str">
        <f>IFERROR(__xludf.DUMMYFUNCTION("""COMPUTED_VALUE"""),"Identify and Unleash Potential in Your Employees")</f>
        <v>Identify and Unleash Potential in Your Employees</v>
      </c>
      <c r="N21" s="147" t="str">
        <f>IFERROR(__xludf.DUMMYFUNCTION("""COMPUTED_VALUE"""),"Manager")</f>
        <v>Manager</v>
      </c>
      <c r="O21" s="141" t="str">
        <f>IFERROR(__xludf.DUMMYFUNCTION("""COMPUTED_VALUE"""),"Beginner")</f>
        <v>Beginner</v>
      </c>
      <c r="P21" s="143">
        <f>IFERROR(__xludf.DUMMYFUNCTION("""COMPUTED_VALUE"""),0.03719907407407407)</f>
        <v>0.03719907407</v>
      </c>
      <c r="Q21" s="151"/>
      <c r="R21" s="140"/>
      <c r="S21" s="140"/>
    </row>
    <row r="22" ht="33.75" customHeight="1">
      <c r="A22" s="140"/>
      <c r="B22" s="140"/>
      <c r="C22" s="147">
        <f>IFERROR(__xludf.DUMMYFUNCTION("""COMPUTED_VALUE"""),756286.0)</f>
        <v>756286</v>
      </c>
      <c r="D22" s="148" t="str">
        <f>IFERROR(__xludf.DUMMYFUNCTION("""COMPUTED_VALUE"""),"HR and Digital Transformation")</f>
        <v>HR and Digital Transformation</v>
      </c>
      <c r="E22" s="147" t="str">
        <f>IFERROR(__xludf.DUMMYFUNCTION("""COMPUTED_VALUE"""),"Senior Manager")</f>
        <v>Senior Manager</v>
      </c>
      <c r="F22" s="141" t="str">
        <f>IFERROR(__xludf.DUMMYFUNCTION("""COMPUTED_VALUE"""),"Intermediate")</f>
        <v>Intermediate</v>
      </c>
      <c r="G22" s="143">
        <f>IFERROR(__xludf.DUMMYFUNCTION("""COMPUTED_VALUE"""),0.03916666666666667)</f>
        <v>0.03916666667</v>
      </c>
      <c r="H22" s="151"/>
      <c r="I22" s="140"/>
      <c r="J22" s="140"/>
      <c r="K22" s="140"/>
      <c r="L22" s="147">
        <f>IFERROR(__xludf.DUMMYFUNCTION("""COMPUTED_VALUE"""),696328.0)</f>
        <v>696328</v>
      </c>
      <c r="M22" s="148" t="str">
        <f>IFERROR(__xludf.DUMMYFUNCTION("""COMPUTED_VALUE"""),"New Manager Foundations")</f>
        <v>New Manager Foundations</v>
      </c>
      <c r="N22" s="147" t="str">
        <f>IFERROR(__xludf.DUMMYFUNCTION("""COMPUTED_VALUE"""),"Manager")</f>
        <v>Manager</v>
      </c>
      <c r="O22" s="141" t="str">
        <f>IFERROR(__xludf.DUMMYFUNCTION("""COMPUTED_VALUE"""),"Beginner + Intermediate")</f>
        <v>Beginner + Intermediate</v>
      </c>
      <c r="P22" s="143">
        <f>IFERROR(__xludf.DUMMYFUNCTION("""COMPUTED_VALUE"""),0.041747685185185186)</f>
        <v>0.04174768519</v>
      </c>
      <c r="Q22" s="151"/>
      <c r="R22" s="140"/>
      <c r="S22" s="140"/>
    </row>
    <row r="23" ht="33.75" customHeight="1">
      <c r="A23" s="140"/>
      <c r="B23" s="140"/>
      <c r="C23" s="147">
        <f>IFERROR(__xludf.DUMMYFUNCTION("""COMPUTED_VALUE"""),5022331.0)</f>
        <v>5022331</v>
      </c>
      <c r="D23" s="148" t="str">
        <f>IFERROR(__xludf.DUMMYFUNCTION("""COMPUTED_VALUE"""),"Collaborative Leadership")</f>
        <v>Collaborative Leadership</v>
      </c>
      <c r="E23" s="147" t="str">
        <f>IFERROR(__xludf.DUMMYFUNCTION("""COMPUTED_VALUE"""),"Senior Manager")</f>
        <v>Senior Manager</v>
      </c>
      <c r="F23" s="141" t="str">
        <f>IFERROR(__xludf.DUMMYFUNCTION("""COMPUTED_VALUE"""),"Intermediate")</f>
        <v>Intermediate</v>
      </c>
      <c r="G23" s="143">
        <f>IFERROR(__xludf.DUMMYFUNCTION("""COMPUTED_VALUE"""),0.025925925925925925)</f>
        <v>0.02592592593</v>
      </c>
      <c r="H23" s="151"/>
      <c r="I23" s="140"/>
      <c r="J23" s="140"/>
      <c r="K23" s="140"/>
      <c r="L23" s="147">
        <f>IFERROR(__xludf.DUMMYFUNCTION("""COMPUTED_VALUE"""),5015865.0)</f>
        <v>5015865</v>
      </c>
      <c r="M23" s="148" t="str">
        <f>IFERROR(__xludf.DUMMYFUNCTION("""COMPUTED_VALUE"""),"Performance Management: Setting Goals and Managing Performance")</f>
        <v>Performance Management: Setting Goals and Managing Performance</v>
      </c>
      <c r="N23" s="147" t="str">
        <f>IFERROR(__xludf.DUMMYFUNCTION("""COMPUTED_VALUE"""),"Manager")</f>
        <v>Manager</v>
      </c>
      <c r="O23" s="141" t="str">
        <f>IFERROR(__xludf.DUMMYFUNCTION("""COMPUTED_VALUE"""),"Beginner + Intermediate")</f>
        <v>Beginner + Intermediate</v>
      </c>
      <c r="P23" s="143">
        <f>IFERROR(__xludf.DUMMYFUNCTION("""COMPUTED_VALUE"""),0.01369212962962963)</f>
        <v>0.01369212963</v>
      </c>
      <c r="Q23" s="151"/>
      <c r="R23" s="140"/>
      <c r="S23" s="140"/>
    </row>
    <row r="24" ht="33.75" customHeight="1">
      <c r="A24" s="140"/>
      <c r="B24" s="140"/>
      <c r="C24" s="147">
        <f>IFERROR(__xludf.DUMMYFUNCTION("""COMPUTED_VALUE"""),373992.0)</f>
        <v>373992</v>
      </c>
      <c r="D24" s="148" t="str">
        <f>IFERROR(__xludf.DUMMYFUNCTION("""COMPUTED_VALUE"""),"Executive Decision-Making")</f>
        <v>Executive Decision-Making</v>
      </c>
      <c r="E24" s="147" t="str">
        <f>IFERROR(__xludf.DUMMYFUNCTION("""COMPUTED_VALUE"""),"Senior Manager")</f>
        <v>Senior Manager</v>
      </c>
      <c r="F24" s="141" t="str">
        <f>IFERROR(__xludf.DUMMYFUNCTION("""COMPUTED_VALUE"""),"Intermediate")</f>
        <v>Intermediate</v>
      </c>
      <c r="G24" s="143">
        <f>IFERROR(__xludf.DUMMYFUNCTION("""COMPUTED_VALUE"""),0.03484953703703704)</f>
        <v>0.03484953704</v>
      </c>
      <c r="H24" s="151"/>
      <c r="I24" s="140"/>
      <c r="J24" s="140"/>
      <c r="K24" s="140"/>
      <c r="L24" s="147">
        <f>IFERROR(__xludf.DUMMYFUNCTION("""COMPUTED_VALUE"""),2825332.0)</f>
        <v>2825332</v>
      </c>
      <c r="M24" s="148" t="str">
        <f>IFERROR(__xludf.DUMMYFUNCTION("""COMPUTED_VALUE"""),"Leading Virtual Meetings")</f>
        <v>Leading Virtual Meetings</v>
      </c>
      <c r="N24" s="147" t="str">
        <f>IFERROR(__xludf.DUMMYFUNCTION("""COMPUTED_VALUE"""),"Manager")</f>
        <v>Manager</v>
      </c>
      <c r="O24" s="141" t="str">
        <f>IFERROR(__xludf.DUMMYFUNCTION("""COMPUTED_VALUE"""),"Beginner + Intermediate")</f>
        <v>Beginner + Intermediate</v>
      </c>
      <c r="P24" s="143">
        <f>IFERROR(__xludf.DUMMYFUNCTION("""COMPUTED_VALUE"""),0.022650462962962963)</f>
        <v>0.02265046296</v>
      </c>
      <c r="Q24" s="151"/>
      <c r="R24" s="140"/>
      <c r="S24" s="140"/>
    </row>
    <row r="25" ht="33.75" customHeight="1">
      <c r="A25" s="140"/>
      <c r="B25" s="140"/>
      <c r="C25" s="147">
        <f>IFERROR(__xludf.DUMMYFUNCTION("""COMPUTED_VALUE"""),167027.0)</f>
        <v>167027</v>
      </c>
      <c r="D25" s="148" t="str">
        <f>IFERROR(__xludf.DUMMYFUNCTION("""COMPUTED_VALUE"""),"Executive Leadership")</f>
        <v>Executive Leadership</v>
      </c>
      <c r="E25" s="147" t="str">
        <f>IFERROR(__xludf.DUMMYFUNCTION("""COMPUTED_VALUE"""),"Senior Manager")</f>
        <v>Senior Manager</v>
      </c>
      <c r="F25" s="141" t="str">
        <f>IFERROR(__xludf.DUMMYFUNCTION("""COMPUTED_VALUE"""),"Intermediate")</f>
        <v>Intermediate</v>
      </c>
      <c r="G25" s="143">
        <f>IFERROR(__xludf.DUMMYFUNCTION("""COMPUTED_VALUE"""),0.055)</f>
        <v>0.055</v>
      </c>
      <c r="H25" s="151"/>
      <c r="I25" s="140"/>
      <c r="J25" s="140"/>
      <c r="K25" s="140"/>
      <c r="L25" s="147">
        <f>IFERROR(__xludf.DUMMYFUNCTION("""COMPUTED_VALUE"""),802842.0)</f>
        <v>802842</v>
      </c>
      <c r="M25" s="148" t="str">
        <f>IFERROR(__xludf.DUMMYFUNCTION("""COMPUTED_VALUE"""),"Coaching and Developing Employees")</f>
        <v>Coaching and Developing Employees</v>
      </c>
      <c r="N25" s="147" t="str">
        <f>IFERROR(__xludf.DUMMYFUNCTION("""COMPUTED_VALUE"""),"Manager")</f>
        <v>Manager</v>
      </c>
      <c r="O25" s="141" t="str">
        <f>IFERROR(__xludf.DUMMYFUNCTION("""COMPUTED_VALUE"""),"Beginner + Intermediate")</f>
        <v>Beginner + Intermediate</v>
      </c>
      <c r="P25" s="143">
        <f>IFERROR(__xludf.DUMMYFUNCTION("""COMPUTED_VALUE"""),0.03754629629629629)</f>
        <v>0.0375462963</v>
      </c>
      <c r="Q25" s="151"/>
      <c r="R25" s="140"/>
      <c r="S25" s="140"/>
    </row>
    <row r="26" ht="33.75" customHeight="1">
      <c r="A26" s="140"/>
      <c r="B26" s="140"/>
      <c r="C26" s="147">
        <f>IFERROR(__xludf.DUMMYFUNCTION("""COMPUTED_VALUE"""),2806197.0)</f>
        <v>2806197</v>
      </c>
      <c r="D26" s="148" t="str">
        <f>IFERROR(__xludf.DUMMYFUNCTION("""COMPUTED_VALUE"""),"Human-Centered Leadership")</f>
        <v>Human-Centered Leadership</v>
      </c>
      <c r="E26" s="147" t="str">
        <f>IFERROR(__xludf.DUMMYFUNCTION("""COMPUTED_VALUE"""),"Senior Manager")</f>
        <v>Senior Manager</v>
      </c>
      <c r="F26" s="141" t="str">
        <f>IFERROR(__xludf.DUMMYFUNCTION("""COMPUTED_VALUE"""),"Intermediate")</f>
        <v>Intermediate</v>
      </c>
      <c r="G26" s="143">
        <f>IFERROR(__xludf.DUMMYFUNCTION("""COMPUTED_VALUE"""),0.01902777777777778)</f>
        <v>0.01902777778</v>
      </c>
      <c r="H26" s="151"/>
      <c r="I26" s="140"/>
      <c r="J26" s="140"/>
      <c r="K26" s="140"/>
      <c r="L26" s="147">
        <f>IFERROR(__xludf.DUMMYFUNCTION("""COMPUTED_VALUE"""),721911.0)</f>
        <v>721911</v>
      </c>
      <c r="M26" s="148" t="str">
        <f>IFERROR(__xludf.DUMMYFUNCTION("""COMPUTED_VALUE"""),"Management: Top Tips")</f>
        <v>Management: Top Tips</v>
      </c>
      <c r="N26" s="147" t="str">
        <f>IFERROR(__xludf.DUMMYFUNCTION("""COMPUTED_VALUE"""),"Manager")</f>
        <v>Manager</v>
      </c>
      <c r="O26" s="141" t="str">
        <f>IFERROR(__xludf.DUMMYFUNCTION("""COMPUTED_VALUE"""),"Beginner + Intermediate")</f>
        <v>Beginner + Intermediate</v>
      </c>
      <c r="P26" s="143">
        <f>IFERROR(__xludf.DUMMYFUNCTION("""COMPUTED_VALUE"""),0.08665509259259259)</f>
        <v>0.08665509259</v>
      </c>
      <c r="Q26" s="151"/>
      <c r="R26" s="140"/>
      <c r="S26" s="140"/>
    </row>
    <row r="27" ht="33.75" customHeight="1">
      <c r="A27" s="140"/>
      <c r="B27" s="140"/>
      <c r="C27" s="147">
        <f>IFERROR(__xludf.DUMMYFUNCTION("""COMPUTED_VALUE"""),5010646.0)</f>
        <v>5010646</v>
      </c>
      <c r="D27" s="148" t="str">
        <f>IFERROR(__xludf.DUMMYFUNCTION("""COMPUTED_VALUE"""),"Building Resilience as a Leader")</f>
        <v>Building Resilience as a Leader</v>
      </c>
      <c r="E27" s="147" t="str">
        <f>IFERROR(__xludf.DUMMYFUNCTION("""COMPUTED_VALUE"""),"Senior Manager")</f>
        <v>Senior Manager</v>
      </c>
      <c r="F27" s="141" t="str">
        <f>IFERROR(__xludf.DUMMYFUNCTION("""COMPUTED_VALUE"""),"Intermediate")</f>
        <v>Intermediate</v>
      </c>
      <c r="G27" s="143">
        <f>IFERROR(__xludf.DUMMYFUNCTION("""COMPUTED_VALUE"""),0.02980324074074074)</f>
        <v>0.02980324074</v>
      </c>
      <c r="H27" s="151"/>
      <c r="I27" s="140"/>
      <c r="J27" s="140"/>
      <c r="K27" s="140"/>
      <c r="L27" s="147">
        <f>IFERROR(__xludf.DUMMYFUNCTION("""COMPUTED_VALUE"""),746304.0)</f>
        <v>746304</v>
      </c>
      <c r="M27" s="148" t="str">
        <f>IFERROR(__xludf.DUMMYFUNCTION("""COMPUTED_VALUE"""),"Managing Teams")</f>
        <v>Managing Teams</v>
      </c>
      <c r="N27" s="147" t="str">
        <f>IFERROR(__xludf.DUMMYFUNCTION("""COMPUTED_VALUE"""),"Manager")</f>
        <v>Manager</v>
      </c>
      <c r="O27" s="141" t="str">
        <f>IFERROR(__xludf.DUMMYFUNCTION("""COMPUTED_VALUE"""),"Beginner + Intermediate")</f>
        <v>Beginner + Intermediate</v>
      </c>
      <c r="P27" s="143">
        <f>IFERROR(__xludf.DUMMYFUNCTION("""COMPUTED_VALUE"""),0.04980324074074074)</f>
        <v>0.04980324074</v>
      </c>
      <c r="Q27" s="151"/>
      <c r="R27" s="140"/>
      <c r="S27" s="140"/>
    </row>
    <row r="28" ht="33.75" customHeight="1">
      <c r="A28" s="140"/>
      <c r="B28" s="140"/>
      <c r="C28" s="147">
        <f>IFERROR(__xludf.DUMMYFUNCTION("""COMPUTED_VALUE"""),756285.0)</f>
        <v>756285</v>
      </c>
      <c r="D28" s="148" t="str">
        <f>IFERROR(__xludf.DUMMYFUNCTION("""COMPUTED_VALUE"""),"Leading with Purpose")</f>
        <v>Leading with Purpose</v>
      </c>
      <c r="E28" s="147" t="str">
        <f>IFERROR(__xludf.DUMMYFUNCTION("""COMPUTED_VALUE"""),"Senior Manager")</f>
        <v>Senior Manager</v>
      </c>
      <c r="F28" s="141" t="str">
        <f>IFERROR(__xludf.DUMMYFUNCTION("""COMPUTED_VALUE"""),"Intermediate")</f>
        <v>Intermediate</v>
      </c>
      <c r="G28" s="143">
        <f>IFERROR(__xludf.DUMMYFUNCTION("""COMPUTED_VALUE"""),0.038125)</f>
        <v>0.038125</v>
      </c>
      <c r="H28" s="151"/>
      <c r="I28" s="140"/>
      <c r="J28" s="140"/>
      <c r="K28" s="140"/>
      <c r="L28" s="147">
        <f>IFERROR(__xludf.DUMMYFUNCTION("""COMPUTED_VALUE"""),664803.0)</f>
        <v>664803</v>
      </c>
      <c r="M28" s="148" t="str">
        <f>IFERROR(__xludf.DUMMYFUNCTION("""COMPUTED_VALUE"""),"Managing Temporary and Contract Employees")</f>
        <v>Managing Temporary and Contract Employees</v>
      </c>
      <c r="N28" s="147" t="str">
        <f>IFERROR(__xludf.DUMMYFUNCTION("""COMPUTED_VALUE"""),"Manager")</f>
        <v>Manager</v>
      </c>
      <c r="O28" s="141" t="str">
        <f>IFERROR(__xludf.DUMMYFUNCTION("""COMPUTED_VALUE"""),"Beginner + Intermediate")</f>
        <v>Beginner + Intermediate</v>
      </c>
      <c r="P28" s="143">
        <f>IFERROR(__xludf.DUMMYFUNCTION("""COMPUTED_VALUE"""),0.03516203703703704)</f>
        <v>0.03516203704</v>
      </c>
      <c r="Q28" s="151"/>
      <c r="R28" s="140"/>
      <c r="S28" s="140"/>
    </row>
    <row r="29" ht="33.75" customHeight="1">
      <c r="A29" s="140"/>
      <c r="B29" s="140"/>
      <c r="C29" s="147">
        <f>IFERROR(__xludf.DUMMYFUNCTION("""COMPUTED_VALUE"""),2811020.0)</f>
        <v>2811020</v>
      </c>
      <c r="D29" s="148" t="str">
        <f>IFERROR(__xludf.DUMMYFUNCTION("""COMPUTED_VALUE"""),"Navigating Politics as a Senior Leader")</f>
        <v>Navigating Politics as a Senior Leader</v>
      </c>
      <c r="E29" s="147" t="str">
        <f>IFERROR(__xludf.DUMMYFUNCTION("""COMPUTED_VALUE"""),"Senior Manager")</f>
        <v>Senior Manager</v>
      </c>
      <c r="F29" s="141" t="str">
        <f>IFERROR(__xludf.DUMMYFUNCTION("""COMPUTED_VALUE"""),"Intermediate")</f>
        <v>Intermediate</v>
      </c>
      <c r="G29" s="143">
        <f>IFERROR(__xludf.DUMMYFUNCTION("""COMPUTED_VALUE"""),0.022094907407407407)</f>
        <v>0.02209490741</v>
      </c>
      <c r="H29" s="151"/>
      <c r="I29" s="140"/>
      <c r="J29" s="140"/>
      <c r="K29" s="140"/>
      <c r="L29" s="147">
        <f>IFERROR(__xludf.DUMMYFUNCTION("""COMPUTED_VALUE"""),688508.0)</f>
        <v>688508</v>
      </c>
      <c r="M29" s="148" t="str">
        <f>IFERROR(__xludf.DUMMYFUNCTION("""COMPUTED_VALUE"""),"Motivating and Engaging Employees")</f>
        <v>Motivating and Engaging Employees</v>
      </c>
      <c r="N29" s="147" t="str">
        <f>IFERROR(__xludf.DUMMYFUNCTION("""COMPUTED_VALUE"""),"Manager")</f>
        <v>Manager</v>
      </c>
      <c r="O29" s="141" t="str">
        <f>IFERROR(__xludf.DUMMYFUNCTION("""COMPUTED_VALUE"""),"Beginner + Intermediate")</f>
        <v>Beginner + Intermediate</v>
      </c>
      <c r="P29" s="143">
        <f>IFERROR(__xludf.DUMMYFUNCTION("""COMPUTED_VALUE"""),0.032337962962962964)</f>
        <v>0.03233796296</v>
      </c>
      <c r="Q29" s="151"/>
      <c r="R29" s="140"/>
      <c r="S29" s="140"/>
    </row>
    <row r="30" ht="33.75" customHeight="1">
      <c r="A30" s="140"/>
      <c r="B30" s="140"/>
      <c r="C30" s="147">
        <f>IFERROR(__xludf.DUMMYFUNCTION("""COMPUTED_VALUE"""),2813183.0)</f>
        <v>2813183</v>
      </c>
      <c r="D30" s="148" t="str">
        <f>IFERROR(__xludf.DUMMYFUNCTION("""COMPUTED_VALUE"""),"Leading with Values")</f>
        <v>Leading with Values</v>
      </c>
      <c r="E30" s="147" t="str">
        <f>IFERROR(__xludf.DUMMYFUNCTION("""COMPUTED_VALUE"""),"Senior Manager")</f>
        <v>Senior Manager</v>
      </c>
      <c r="F30" s="141" t="str">
        <f>IFERROR(__xludf.DUMMYFUNCTION("""COMPUTED_VALUE"""),"Intermediate")</f>
        <v>Intermediate</v>
      </c>
      <c r="G30" s="143">
        <f>IFERROR(__xludf.DUMMYFUNCTION("""COMPUTED_VALUE"""),0.03140046296296296)</f>
        <v>0.03140046296</v>
      </c>
      <c r="H30" s="151"/>
      <c r="I30" s="140"/>
      <c r="J30" s="140"/>
      <c r="K30" s="140"/>
      <c r="L30" s="147">
        <f>IFERROR(__xludf.DUMMYFUNCTION("""COMPUTED_VALUE"""),2835013.0)</f>
        <v>2835013</v>
      </c>
      <c r="M30" s="148" t="str">
        <f>IFERROR(__xludf.DUMMYFUNCTION("""COMPUTED_VALUE"""),"Building Change Capability for Managers")</f>
        <v>Building Change Capability for Managers</v>
      </c>
      <c r="N30" s="147" t="str">
        <f>IFERROR(__xludf.DUMMYFUNCTION("""COMPUTED_VALUE"""),"Manager")</f>
        <v>Manager</v>
      </c>
      <c r="O30" s="141" t="str">
        <f>IFERROR(__xludf.DUMMYFUNCTION("""COMPUTED_VALUE"""),"Beginner + Intermediate")</f>
        <v>Beginner + Intermediate</v>
      </c>
      <c r="P30" s="143">
        <f>IFERROR(__xludf.DUMMYFUNCTION("""COMPUTED_VALUE"""),0.038657407407407404)</f>
        <v>0.03865740741</v>
      </c>
      <c r="Q30" s="151"/>
      <c r="R30" s="140"/>
      <c r="S30" s="140"/>
    </row>
    <row r="31" ht="33.75" customHeight="1">
      <c r="A31" s="140"/>
      <c r="B31" s="140"/>
      <c r="C31" s="147">
        <f>IFERROR(__xludf.DUMMYFUNCTION("""COMPUTED_VALUE"""),2875304.0)</f>
        <v>2875304</v>
      </c>
      <c r="D31" s="148" t="str">
        <f>IFERROR(__xludf.DUMMYFUNCTION("""COMPUTED_VALUE"""),"Taking Charge of Your Leadership Conversations")</f>
        <v>Taking Charge of Your Leadership Conversations</v>
      </c>
      <c r="E31" s="147" t="str">
        <f>IFERROR(__xludf.DUMMYFUNCTION("""COMPUTED_VALUE"""),"Senior Manager")</f>
        <v>Senior Manager</v>
      </c>
      <c r="F31" s="141" t="str">
        <f>IFERROR(__xludf.DUMMYFUNCTION("""COMPUTED_VALUE"""),"Intermediate")</f>
        <v>Intermediate</v>
      </c>
      <c r="G31" s="143">
        <f>IFERROR(__xludf.DUMMYFUNCTION("""COMPUTED_VALUE"""),0.020902777777777777)</f>
        <v>0.02090277778</v>
      </c>
      <c r="H31" s="151"/>
      <c r="I31" s="140"/>
      <c r="J31" s="140"/>
      <c r="K31" s="140"/>
      <c r="L31" s="147">
        <f>IFERROR(__xludf.DUMMYFUNCTION("""COMPUTED_VALUE"""),3107153.0)</f>
        <v>3107153</v>
      </c>
      <c r="M31" s="148" t="str">
        <f>IFERROR(__xludf.DUMMYFUNCTION("""COMPUTED_VALUE"""),"Managing Introverts")</f>
        <v>Managing Introverts</v>
      </c>
      <c r="N31" s="147" t="str">
        <f>IFERROR(__xludf.DUMMYFUNCTION("""COMPUTED_VALUE"""),"Manager")</f>
        <v>Manager</v>
      </c>
      <c r="O31" s="141" t="str">
        <f>IFERROR(__xludf.DUMMYFUNCTION("""COMPUTED_VALUE"""),"Beginner + Intermediate")</f>
        <v>Beginner + Intermediate</v>
      </c>
      <c r="P31" s="143">
        <f>IFERROR(__xludf.DUMMYFUNCTION("""COMPUTED_VALUE"""),0.019398148148148147)</f>
        <v>0.01939814815</v>
      </c>
      <c r="Q31" s="151"/>
      <c r="R31" s="140"/>
      <c r="S31" s="140"/>
    </row>
    <row r="32" ht="33.75" customHeight="1">
      <c r="A32" s="140"/>
      <c r="B32" s="140"/>
      <c r="C32" s="147">
        <f>IFERROR(__xludf.DUMMYFUNCTION("""COMPUTED_VALUE"""),2878066.0)</f>
        <v>2878066</v>
      </c>
      <c r="D32" s="148" t="str">
        <f>IFERROR(__xludf.DUMMYFUNCTION("""COMPUTED_VALUE"""),"Executive Influence")</f>
        <v>Executive Influence</v>
      </c>
      <c r="E32" s="147" t="str">
        <f>IFERROR(__xludf.DUMMYFUNCTION("""COMPUTED_VALUE"""),"Senior Manager")</f>
        <v>Senior Manager</v>
      </c>
      <c r="F32" s="141" t="str">
        <f>IFERROR(__xludf.DUMMYFUNCTION("""COMPUTED_VALUE"""),"Advanced")</f>
        <v>Advanced</v>
      </c>
      <c r="G32" s="143">
        <f>IFERROR(__xludf.DUMMYFUNCTION("""COMPUTED_VALUE"""),0.015729166666666666)</f>
        <v>0.01572916667</v>
      </c>
      <c r="H32" s="151"/>
      <c r="I32" s="140"/>
      <c r="J32" s="140"/>
      <c r="K32" s="140"/>
      <c r="L32" s="147">
        <f>IFERROR(__xludf.DUMMYFUNCTION("""COMPUTED_VALUE"""),3107152.0)</f>
        <v>3107152</v>
      </c>
      <c r="M32" s="148" t="str">
        <f>IFERROR(__xludf.DUMMYFUNCTION("""COMPUTED_VALUE"""),"Coaching New Hires")</f>
        <v>Coaching New Hires</v>
      </c>
      <c r="N32" s="147" t="str">
        <f>IFERROR(__xludf.DUMMYFUNCTION("""COMPUTED_VALUE"""),"Manager")</f>
        <v>Manager</v>
      </c>
      <c r="O32" s="141" t="str">
        <f>IFERROR(__xludf.DUMMYFUNCTION("""COMPUTED_VALUE"""),"Beginner + Intermediate")</f>
        <v>Beginner + Intermediate</v>
      </c>
      <c r="P32" s="143">
        <f>IFERROR(__xludf.DUMMYFUNCTION("""COMPUTED_VALUE"""),0.019710648148148147)</f>
        <v>0.01971064815</v>
      </c>
      <c r="Q32" s="151"/>
      <c r="R32" s="140"/>
      <c r="S32" s="140"/>
    </row>
    <row r="33" ht="33.75" customHeight="1">
      <c r="A33" s="140"/>
      <c r="B33" s="140"/>
      <c r="C33" s="147">
        <f>IFERROR(__xludf.DUMMYFUNCTION("""COMPUTED_VALUE"""),685023.0)</f>
        <v>685023</v>
      </c>
      <c r="D33" s="148" t="str">
        <f>IFERROR(__xludf.DUMMYFUNCTION("""COMPUTED_VALUE"""),"Leading with Vision")</f>
        <v>Leading with Vision</v>
      </c>
      <c r="E33" s="147" t="str">
        <f>IFERROR(__xludf.DUMMYFUNCTION("""COMPUTED_VALUE"""),"Senior Manager")</f>
        <v>Senior Manager</v>
      </c>
      <c r="F33" s="141" t="str">
        <f>IFERROR(__xludf.DUMMYFUNCTION("""COMPUTED_VALUE"""),"Advanced")</f>
        <v>Advanced</v>
      </c>
      <c r="G33" s="143">
        <f>IFERROR(__xludf.DUMMYFUNCTION("""COMPUTED_VALUE"""),0.05386574074074074)</f>
        <v>0.05386574074</v>
      </c>
      <c r="H33" s="151"/>
      <c r="I33" s="140"/>
      <c r="J33" s="140"/>
      <c r="K33" s="140"/>
      <c r="L33" s="147">
        <f>IFERROR(__xludf.DUMMYFUNCTION("""COMPUTED_VALUE"""),2896916.0)</f>
        <v>2896916</v>
      </c>
      <c r="M33" s="148" t="str">
        <f>IFERROR(__xludf.DUMMYFUNCTION("""COMPUTED_VALUE"""),"Be the Manager People Won't Leave")</f>
        <v>Be the Manager People Won't Leave</v>
      </c>
      <c r="N33" s="147" t="str">
        <f>IFERROR(__xludf.DUMMYFUNCTION("""COMPUTED_VALUE"""),"Manager")</f>
        <v>Manager</v>
      </c>
      <c r="O33" s="141" t="str">
        <f>IFERROR(__xludf.DUMMYFUNCTION("""COMPUTED_VALUE"""),"Beginner + Intermediate")</f>
        <v>Beginner + Intermediate</v>
      </c>
      <c r="P33" s="143">
        <f>IFERROR(__xludf.DUMMYFUNCTION("""COMPUTED_VALUE"""),0.01986111111111111)</f>
        <v>0.01986111111</v>
      </c>
      <c r="Q33" s="151"/>
      <c r="R33" s="140"/>
      <c r="S33" s="140"/>
    </row>
    <row r="34" ht="33.75" customHeight="1">
      <c r="A34" s="140"/>
      <c r="B34" s="140"/>
      <c r="C34" s="147">
        <f>IFERROR(__xludf.DUMMYFUNCTION("""COMPUTED_VALUE"""),2809356.0)</f>
        <v>2809356</v>
      </c>
      <c r="D34" s="148" t="str">
        <f>IFERROR(__xludf.DUMMYFUNCTION("""COMPUTED_VALUE"""),"Sanyin Siang on Strategic Mentoring")</f>
        <v>Sanyin Siang on Strategic Mentoring</v>
      </c>
      <c r="E34" s="147" t="str">
        <f>IFERROR(__xludf.DUMMYFUNCTION("""COMPUTED_VALUE"""),"Senior Manager")</f>
        <v>Senior Manager</v>
      </c>
      <c r="F34" s="141" t="str">
        <f>IFERROR(__xludf.DUMMYFUNCTION("""COMPUTED_VALUE"""),"Advanced")</f>
        <v>Advanced</v>
      </c>
      <c r="G34" s="143">
        <f>IFERROR(__xludf.DUMMYFUNCTION("""COMPUTED_VALUE"""),0.006585648148148148)</f>
        <v>0.006585648148</v>
      </c>
      <c r="H34" s="151"/>
      <c r="I34" s="140"/>
      <c r="J34" s="140"/>
      <c r="K34" s="140"/>
      <c r="L34" s="147">
        <f>IFERROR(__xludf.DUMMYFUNCTION("""COMPUTED_VALUE"""),2423650.0)</f>
        <v>2423650</v>
      </c>
      <c r="M34" s="148" t="str">
        <f>IFERROR(__xludf.DUMMYFUNCTION("""COMPUTED_VALUE"""),"Managing Up, Down, and Across the Organization")</f>
        <v>Managing Up, Down, and Across the Organization</v>
      </c>
      <c r="N34" s="147" t="str">
        <f>IFERROR(__xludf.DUMMYFUNCTION("""COMPUTED_VALUE"""),"Manager")</f>
        <v>Manager</v>
      </c>
      <c r="O34" s="141" t="str">
        <f>IFERROR(__xludf.DUMMYFUNCTION("""COMPUTED_VALUE"""),"Beginner + Intermediate")</f>
        <v>Beginner + Intermediate</v>
      </c>
      <c r="P34" s="143">
        <f>IFERROR(__xludf.DUMMYFUNCTION("""COMPUTED_VALUE"""),0.027916666666666666)</f>
        <v>0.02791666667</v>
      </c>
      <c r="Q34" s="151"/>
      <c r="R34" s="140"/>
      <c r="S34" s="140"/>
    </row>
    <row r="35" ht="33.75" customHeight="1">
      <c r="A35" s="140"/>
      <c r="B35" s="140"/>
      <c r="C35" s="147">
        <f>IFERROR(__xludf.DUMMYFUNCTION("""COMPUTED_VALUE"""),2833088.0)</f>
        <v>2833088</v>
      </c>
      <c r="D35" s="148" t="str">
        <f>IFERROR(__xludf.DUMMYFUNCTION("""COMPUTED_VALUE"""),"Using Emotions to Leverage and Accelerate Change: A Guide for Leaders")</f>
        <v>Using Emotions to Leverage and Accelerate Change: A Guide for Leaders</v>
      </c>
      <c r="E35" s="147" t="str">
        <f>IFERROR(__xludf.DUMMYFUNCTION("""COMPUTED_VALUE"""),"Senior Manager")</f>
        <v>Senior Manager</v>
      </c>
      <c r="F35" s="141" t="str">
        <f>IFERROR(__xludf.DUMMYFUNCTION("""COMPUTED_VALUE"""),"Advanced")</f>
        <v>Advanced</v>
      </c>
      <c r="G35" s="143">
        <f>IFERROR(__xludf.DUMMYFUNCTION("""COMPUTED_VALUE"""),0.02144675925925926)</f>
        <v>0.02144675926</v>
      </c>
      <c r="H35" s="151"/>
      <c r="I35" s="140"/>
      <c r="J35" s="140"/>
      <c r="K35" s="140"/>
      <c r="L35" s="147">
        <f>IFERROR(__xludf.DUMMYFUNCTION("""COMPUTED_VALUE"""),693069.0)</f>
        <v>693069</v>
      </c>
      <c r="M35" s="148" t="str">
        <f>IFERROR(__xludf.DUMMYFUNCTION("""COMPUTED_VALUE"""),"Delegating Tasks")</f>
        <v>Delegating Tasks</v>
      </c>
      <c r="N35" s="147" t="str">
        <f>IFERROR(__xludf.DUMMYFUNCTION("""COMPUTED_VALUE"""),"Manager")</f>
        <v>Manager</v>
      </c>
      <c r="O35" s="141" t="str">
        <f>IFERROR(__xludf.DUMMYFUNCTION("""COMPUTED_VALUE"""),"General")</f>
        <v>General</v>
      </c>
      <c r="P35" s="143">
        <f>IFERROR(__xludf.DUMMYFUNCTION("""COMPUTED_VALUE"""),0.024212962962962964)</f>
        <v>0.02421296296</v>
      </c>
      <c r="Q35" s="151"/>
      <c r="R35" s="140"/>
      <c r="S35" s="140"/>
    </row>
    <row r="36" ht="33.75" customHeight="1">
      <c r="A36" s="140"/>
      <c r="B36" s="140"/>
      <c r="C36" s="147">
        <f>IFERROR(__xludf.DUMMYFUNCTION("""COMPUTED_VALUE"""),696872.0)</f>
        <v>696872</v>
      </c>
      <c r="D36" s="148" t="str">
        <f>IFERROR(__xludf.DUMMYFUNCTION("""COMPUTED_VALUE"""),"Ken Blanchard on Servant Leadership")</f>
        <v>Ken Blanchard on Servant Leadership</v>
      </c>
      <c r="E36" s="147" t="str">
        <f>IFERROR(__xludf.DUMMYFUNCTION("""COMPUTED_VALUE"""),"Senior Manager")</f>
        <v>Senior Manager</v>
      </c>
      <c r="F36" s="141" t="str">
        <f>IFERROR(__xludf.DUMMYFUNCTION("""COMPUTED_VALUE"""),"General")</f>
        <v>General</v>
      </c>
      <c r="G36" s="143">
        <f>IFERROR(__xludf.DUMMYFUNCTION("""COMPUTED_VALUE"""),0.018935185185185187)</f>
        <v>0.01893518519</v>
      </c>
      <c r="H36" s="151"/>
      <c r="I36" s="140"/>
      <c r="J36" s="140"/>
      <c r="K36" s="140"/>
      <c r="L36" s="147">
        <f>IFERROR(__xludf.DUMMYFUNCTION("""COMPUTED_VALUE"""),5038200.0)</f>
        <v>5038200</v>
      </c>
      <c r="M36" s="148" t="str">
        <f>IFERROR(__xludf.DUMMYFUNCTION("""COMPUTED_VALUE"""),"Managing Generation Z")</f>
        <v>Managing Generation Z</v>
      </c>
      <c r="N36" s="147" t="str">
        <f>IFERROR(__xludf.DUMMYFUNCTION("""COMPUTED_VALUE"""),"Manager")</f>
        <v>Manager</v>
      </c>
      <c r="O36" s="141" t="str">
        <f>IFERROR(__xludf.DUMMYFUNCTION("""COMPUTED_VALUE"""),"General")</f>
        <v>General</v>
      </c>
      <c r="P36" s="143">
        <f>IFERROR(__xludf.DUMMYFUNCTION("""COMPUTED_VALUE"""),0.022534722222222223)</f>
        <v>0.02253472222</v>
      </c>
      <c r="Q36" s="151"/>
      <c r="R36" s="140"/>
      <c r="S36" s="140"/>
    </row>
    <row r="37" ht="33.75" customHeight="1">
      <c r="A37" s="140"/>
      <c r="B37" s="140"/>
      <c r="C37" s="147">
        <f>IFERROR(__xludf.DUMMYFUNCTION("""COMPUTED_VALUE"""),651185.0)</f>
        <v>651185</v>
      </c>
      <c r="D37" s="148" t="str">
        <f>IFERROR(__xludf.DUMMYFUNCTION("""COMPUTED_VALUE"""),"Emerging Leader Foundations")</f>
        <v>Emerging Leader Foundations</v>
      </c>
      <c r="E37" s="147" t="str">
        <f>IFERROR(__xludf.DUMMYFUNCTION("""COMPUTED_VALUE"""),"Manager")</f>
        <v>Manager</v>
      </c>
      <c r="F37" s="141" t="str">
        <f>IFERROR(__xludf.DUMMYFUNCTION("""COMPUTED_VALUE"""),"Beginner")</f>
        <v>Beginner</v>
      </c>
      <c r="G37" s="143">
        <f>IFERROR(__xludf.DUMMYFUNCTION("""COMPUTED_VALUE"""),0.03525462962962963)</f>
        <v>0.03525462963</v>
      </c>
      <c r="H37" s="151"/>
      <c r="I37" s="140"/>
      <c r="J37" s="140"/>
      <c r="K37" s="140"/>
      <c r="L37" s="147">
        <f>IFERROR(__xludf.DUMMYFUNCTION("""COMPUTED_VALUE"""),645011.0)</f>
        <v>645011</v>
      </c>
      <c r="M37" s="148" t="str">
        <f>IFERROR(__xludf.DUMMYFUNCTION("""COMPUTED_VALUE"""),"Coaching Employees through Difficult Situations")</f>
        <v>Coaching Employees through Difficult Situations</v>
      </c>
      <c r="N37" s="147" t="str">
        <f>IFERROR(__xludf.DUMMYFUNCTION("""COMPUTED_VALUE"""),"Manager")</f>
        <v>Manager</v>
      </c>
      <c r="O37" s="141" t="str">
        <f>IFERROR(__xludf.DUMMYFUNCTION("""COMPUTED_VALUE"""),"Intermediate")</f>
        <v>Intermediate</v>
      </c>
      <c r="P37" s="143">
        <f>IFERROR(__xludf.DUMMYFUNCTION("""COMPUTED_VALUE"""),0.032824074074074075)</f>
        <v>0.03282407407</v>
      </c>
      <c r="Q37" s="151"/>
      <c r="R37" s="140"/>
      <c r="S37" s="140"/>
    </row>
    <row r="38" ht="33.75" customHeight="1">
      <c r="A38" s="140"/>
      <c r="B38" s="140"/>
      <c r="C38" s="147">
        <f>IFERROR(__xludf.DUMMYFUNCTION("""COMPUTED_VALUE"""),802830.0)</f>
        <v>802830</v>
      </c>
      <c r="D38" s="148" t="str">
        <f>IFERROR(__xludf.DUMMYFUNCTION("""COMPUTED_VALUE"""),"Leadership Foundations: Leadership Styles and Models")</f>
        <v>Leadership Foundations: Leadership Styles and Models</v>
      </c>
      <c r="E38" s="147" t="str">
        <f>IFERROR(__xludf.DUMMYFUNCTION("""COMPUTED_VALUE"""),"Manager")</f>
        <v>Manager</v>
      </c>
      <c r="F38" s="141" t="str">
        <f>IFERROR(__xludf.DUMMYFUNCTION("""COMPUTED_VALUE"""),"Beginner")</f>
        <v>Beginner</v>
      </c>
      <c r="G38" s="143">
        <f>IFERROR(__xludf.DUMMYFUNCTION("""COMPUTED_VALUE"""),0.03142361111111111)</f>
        <v>0.03142361111</v>
      </c>
      <c r="H38" s="151"/>
      <c r="I38" s="140"/>
      <c r="J38" s="140"/>
      <c r="K38" s="140"/>
      <c r="L38" s="147">
        <f>IFERROR(__xludf.DUMMYFUNCTION("""COMPUTED_VALUE"""),197201.0)</f>
        <v>197201</v>
      </c>
      <c r="M38" s="148" t="str">
        <f>IFERROR(__xludf.DUMMYFUNCTION("""COMPUTED_VALUE"""),"Developing Executive Presence")</f>
        <v>Developing Executive Presence</v>
      </c>
      <c r="N38" s="147" t="str">
        <f>IFERROR(__xludf.DUMMYFUNCTION("""COMPUTED_VALUE"""),"Manager")</f>
        <v>Manager</v>
      </c>
      <c r="O38" s="141" t="str">
        <f>IFERROR(__xludf.DUMMYFUNCTION("""COMPUTED_VALUE"""),"Intermediate")</f>
        <v>Intermediate</v>
      </c>
      <c r="P38" s="143">
        <f>IFERROR(__xludf.DUMMYFUNCTION("""COMPUTED_VALUE"""),0.05016203703703704)</f>
        <v>0.05016203704</v>
      </c>
      <c r="Q38" s="151"/>
      <c r="R38" s="140"/>
      <c r="S38" s="140"/>
    </row>
    <row r="39" ht="33.75" customHeight="1">
      <c r="A39" s="140"/>
      <c r="B39" s="140"/>
      <c r="C39" s="147">
        <f>IFERROR(__xludf.DUMMYFUNCTION("""COMPUTED_VALUE"""),721910.0)</f>
        <v>721910</v>
      </c>
      <c r="D39" s="148" t="str">
        <f>IFERROR(__xludf.DUMMYFUNCTION("""COMPUTED_VALUE"""),"Leadership: Practical Skills")</f>
        <v>Leadership: Practical Skills</v>
      </c>
      <c r="E39" s="147" t="str">
        <f>IFERROR(__xludf.DUMMYFUNCTION("""COMPUTED_VALUE"""),"Manager")</f>
        <v>Manager</v>
      </c>
      <c r="F39" s="141" t="str">
        <f>IFERROR(__xludf.DUMMYFUNCTION("""COMPUTED_VALUE"""),"Beginner")</f>
        <v>Beginner</v>
      </c>
      <c r="G39" s="143">
        <f>IFERROR(__xludf.DUMMYFUNCTION("""COMPUTED_VALUE"""),0.10472222222222222)</f>
        <v>0.1047222222</v>
      </c>
      <c r="H39" s="151"/>
      <c r="I39" s="140"/>
      <c r="J39" s="140"/>
      <c r="K39" s="140"/>
      <c r="L39" s="147">
        <f>IFERROR(__xludf.DUMMYFUNCTION("""COMPUTED_VALUE"""),737756.0)</f>
        <v>737756</v>
      </c>
      <c r="M39" s="148" t="str">
        <f>IFERROR(__xludf.DUMMYFUNCTION("""COMPUTED_VALUE"""),"Developing Your Team Members")</f>
        <v>Developing Your Team Members</v>
      </c>
      <c r="N39" s="147" t="str">
        <f>IFERROR(__xludf.DUMMYFUNCTION("""COMPUTED_VALUE"""),"Manager")</f>
        <v>Manager</v>
      </c>
      <c r="O39" s="141" t="str">
        <f>IFERROR(__xludf.DUMMYFUNCTION("""COMPUTED_VALUE"""),"Intermediate")</f>
        <v>Intermediate</v>
      </c>
      <c r="P39" s="143">
        <f>IFERROR(__xludf.DUMMYFUNCTION("""COMPUTED_VALUE"""),0.03671296296296296)</f>
        <v>0.03671296296</v>
      </c>
      <c r="Q39" s="151"/>
      <c r="R39" s="140"/>
      <c r="S39" s="140"/>
    </row>
    <row r="40" ht="33.75" customHeight="1">
      <c r="A40" s="140"/>
      <c r="B40" s="140"/>
      <c r="C40" s="147">
        <f>IFERROR(__xludf.DUMMYFUNCTION("""COMPUTED_VALUE"""),2813255.0)</f>
        <v>2813255</v>
      </c>
      <c r="D40" s="148" t="str">
        <f>IFERROR(__xludf.DUMMYFUNCTION("""COMPUTED_VALUE"""),"Leadership Foundations")</f>
        <v>Leadership Foundations</v>
      </c>
      <c r="E40" s="147" t="str">
        <f>IFERROR(__xludf.DUMMYFUNCTION("""COMPUTED_VALUE"""),"Manager")</f>
        <v>Manager</v>
      </c>
      <c r="F40" s="141" t="str">
        <f>IFERROR(__xludf.DUMMYFUNCTION("""COMPUTED_VALUE"""),"Beginner")</f>
        <v>Beginner</v>
      </c>
      <c r="G40" s="143">
        <f>IFERROR(__xludf.DUMMYFUNCTION("""COMPUTED_VALUE"""),0.028449074074074075)</f>
        <v>0.02844907407</v>
      </c>
      <c r="H40" s="151"/>
      <c r="I40" s="140"/>
      <c r="J40" s="140"/>
      <c r="K40" s="140"/>
      <c r="L40" s="147">
        <f>IFERROR(__xludf.DUMMYFUNCTION("""COMPUTED_VALUE"""),656781.0)</f>
        <v>656781</v>
      </c>
      <c r="M40" s="148" t="str">
        <f>IFERROR(__xludf.DUMMYFUNCTION("""COMPUTED_VALUE"""),"Facilitation Skills for Managers and Leaders")</f>
        <v>Facilitation Skills for Managers and Leaders</v>
      </c>
      <c r="N40" s="147" t="str">
        <f>IFERROR(__xludf.DUMMYFUNCTION("""COMPUTED_VALUE"""),"Manager")</f>
        <v>Manager</v>
      </c>
      <c r="O40" s="141" t="str">
        <f>IFERROR(__xludf.DUMMYFUNCTION("""COMPUTED_VALUE"""),"Intermediate")</f>
        <v>Intermediate</v>
      </c>
      <c r="P40" s="143">
        <f>IFERROR(__xludf.DUMMYFUNCTION("""COMPUTED_VALUE"""),0.03)</f>
        <v>0.03</v>
      </c>
      <c r="Q40" s="151"/>
      <c r="R40" s="140"/>
      <c r="S40" s="140"/>
    </row>
    <row r="41" ht="33.75" customHeight="1">
      <c r="A41" s="140"/>
      <c r="B41" s="140"/>
      <c r="C41" s="147">
        <f>IFERROR(__xludf.DUMMYFUNCTION("""COMPUTED_VALUE"""),2820052.0)</f>
        <v>2820052</v>
      </c>
      <c r="D41" s="148" t="str">
        <f>IFERROR(__xludf.DUMMYFUNCTION("""COMPUTED_VALUE"""),"Management Foundations")</f>
        <v>Management Foundations</v>
      </c>
      <c r="E41" s="147" t="str">
        <f>IFERROR(__xludf.DUMMYFUNCTION("""COMPUTED_VALUE"""),"Manager")</f>
        <v>Manager</v>
      </c>
      <c r="F41" s="141" t="str">
        <f>IFERROR(__xludf.DUMMYFUNCTION("""COMPUTED_VALUE"""),"Beginner")</f>
        <v>Beginner</v>
      </c>
      <c r="G41" s="143">
        <f>IFERROR(__xludf.DUMMYFUNCTION("""COMPUTED_VALUE"""),0.032476851851851854)</f>
        <v>0.03247685185</v>
      </c>
      <c r="H41" s="151"/>
      <c r="I41" s="140"/>
      <c r="J41" s="140"/>
      <c r="K41" s="140"/>
      <c r="L41" s="147">
        <f>IFERROR(__xludf.DUMMYFUNCTION("""COMPUTED_VALUE"""),175129.0)</f>
        <v>175129</v>
      </c>
      <c r="M41" s="148" t="str">
        <f>IFERROR(__xludf.DUMMYFUNCTION("""COMPUTED_VALUE"""),"Leading and Working in Teams")</f>
        <v>Leading and Working in Teams</v>
      </c>
      <c r="N41" s="147" t="str">
        <f>IFERROR(__xludf.DUMMYFUNCTION("""COMPUTED_VALUE"""),"Manager")</f>
        <v>Manager</v>
      </c>
      <c r="O41" s="141" t="str">
        <f>IFERROR(__xludf.DUMMYFUNCTION("""COMPUTED_VALUE"""),"Intermediate")</f>
        <v>Intermediate</v>
      </c>
      <c r="P41" s="143">
        <f>IFERROR(__xludf.DUMMYFUNCTION("""COMPUTED_VALUE"""),0.017361111111111112)</f>
        <v>0.01736111111</v>
      </c>
      <c r="Q41" s="151"/>
      <c r="R41" s="140"/>
      <c r="S41" s="140"/>
    </row>
    <row r="42" ht="33.75" customHeight="1">
      <c r="A42" s="140"/>
      <c r="B42" s="140"/>
      <c r="C42" s="147">
        <f>IFERROR(__xludf.DUMMYFUNCTION("""COMPUTED_VALUE"""),2823296.0)</f>
        <v>2823296</v>
      </c>
      <c r="D42" s="148" t="str">
        <f>IFERROR(__xludf.DUMMYFUNCTION("""COMPUTED_VALUE"""),"Implementing Continuous Improvement: A Case Study")</f>
        <v>Implementing Continuous Improvement: A Case Study</v>
      </c>
      <c r="E42" s="147" t="str">
        <f>IFERROR(__xludf.DUMMYFUNCTION("""COMPUTED_VALUE"""),"Manager")</f>
        <v>Manager</v>
      </c>
      <c r="F42" s="141" t="str">
        <f>IFERROR(__xludf.DUMMYFUNCTION("""COMPUTED_VALUE"""),"Beginner")</f>
        <v>Beginner</v>
      </c>
      <c r="G42" s="143">
        <f>IFERROR(__xludf.DUMMYFUNCTION("""COMPUTED_VALUE"""),0.09167824074074074)</f>
        <v>0.09167824074</v>
      </c>
      <c r="H42" s="151"/>
      <c r="I42" s="140"/>
      <c r="J42" s="140"/>
      <c r="K42" s="140"/>
      <c r="L42" s="147">
        <f>IFERROR(__xludf.DUMMYFUNCTION("""COMPUTED_VALUE"""),746305.0)</f>
        <v>746305</v>
      </c>
      <c r="M42" s="148" t="str">
        <f>IFERROR(__xludf.DUMMYFUNCTION("""COMPUTED_VALUE"""),"Managing Employee Performance Problems")</f>
        <v>Managing Employee Performance Problems</v>
      </c>
      <c r="N42" s="147" t="str">
        <f>IFERROR(__xludf.DUMMYFUNCTION("""COMPUTED_VALUE"""),"Manager")</f>
        <v>Manager</v>
      </c>
      <c r="O42" s="141" t="str">
        <f>IFERROR(__xludf.DUMMYFUNCTION("""COMPUTED_VALUE"""),"Intermediate")</f>
        <v>Intermediate</v>
      </c>
      <c r="P42" s="143">
        <f>IFERROR(__xludf.DUMMYFUNCTION("""COMPUTED_VALUE"""),0.04052083333333333)</f>
        <v>0.04052083333</v>
      </c>
      <c r="Q42" s="151"/>
      <c r="R42" s="140"/>
      <c r="S42" s="140"/>
    </row>
    <row r="43" ht="33.75" customHeight="1">
      <c r="A43" s="140"/>
      <c r="B43" s="140"/>
      <c r="C43" s="147">
        <f>IFERROR(__xludf.DUMMYFUNCTION("""COMPUTED_VALUE"""),2823297.0)</f>
        <v>2823297</v>
      </c>
      <c r="D43" s="148" t="str">
        <f>IFERROR(__xludf.DUMMYFUNCTION("""COMPUTED_VALUE"""),"Culture of Kaizen")</f>
        <v>Culture of Kaizen</v>
      </c>
      <c r="E43" s="147" t="str">
        <f>IFERROR(__xludf.DUMMYFUNCTION("""COMPUTED_VALUE"""),"Manager")</f>
        <v>Manager</v>
      </c>
      <c r="F43" s="141" t="str">
        <f>IFERROR(__xludf.DUMMYFUNCTION("""COMPUTED_VALUE"""),"Beginner")</f>
        <v>Beginner</v>
      </c>
      <c r="G43" s="143">
        <f>IFERROR(__xludf.DUMMYFUNCTION("""COMPUTED_VALUE"""),0.06542824074074075)</f>
        <v>0.06542824074</v>
      </c>
      <c r="H43" s="151"/>
      <c r="I43" s="140"/>
      <c r="J43" s="140"/>
      <c r="K43" s="140"/>
      <c r="L43" s="147">
        <f>IFERROR(__xludf.DUMMYFUNCTION("""COMPUTED_VALUE"""),2802024.0)</f>
        <v>2802024</v>
      </c>
      <c r="M43" s="148" t="str">
        <f>IFERROR(__xludf.DUMMYFUNCTION("""COMPUTED_VALUE"""),"Business Ethics for Managers and Leaders")</f>
        <v>Business Ethics for Managers and Leaders</v>
      </c>
      <c r="N43" s="147" t="str">
        <f>IFERROR(__xludf.DUMMYFUNCTION("""COMPUTED_VALUE"""),"Manager")</f>
        <v>Manager</v>
      </c>
      <c r="O43" s="141" t="str">
        <f>IFERROR(__xludf.DUMMYFUNCTION("""COMPUTED_VALUE"""),"Intermediate")</f>
        <v>Intermediate</v>
      </c>
      <c r="P43" s="143">
        <f>IFERROR(__xludf.DUMMYFUNCTION("""COMPUTED_VALUE"""),0.046168981481481484)</f>
        <v>0.04616898148</v>
      </c>
      <c r="Q43" s="151"/>
      <c r="R43" s="140"/>
      <c r="S43" s="140"/>
    </row>
    <row r="44" ht="33.75" customHeight="1">
      <c r="A44" s="140"/>
      <c r="B44" s="140"/>
      <c r="C44" s="147">
        <f>IFERROR(__xludf.DUMMYFUNCTION("""COMPUTED_VALUE"""),2822456.0)</f>
        <v>2822456</v>
      </c>
      <c r="D44" s="148" t="str">
        <f>IFERROR(__xludf.DUMMYFUNCTION("""COMPUTED_VALUE"""),"Developing Assertive Leadership")</f>
        <v>Developing Assertive Leadership</v>
      </c>
      <c r="E44" s="147" t="str">
        <f>IFERROR(__xludf.DUMMYFUNCTION("""COMPUTED_VALUE"""),"Manager")</f>
        <v>Manager</v>
      </c>
      <c r="F44" s="141" t="str">
        <f>IFERROR(__xludf.DUMMYFUNCTION("""COMPUTED_VALUE"""),"Beginner")</f>
        <v>Beginner</v>
      </c>
      <c r="G44" s="143">
        <f>IFERROR(__xludf.DUMMYFUNCTION("""COMPUTED_VALUE"""),0.04642361111111111)</f>
        <v>0.04642361111</v>
      </c>
      <c r="H44" s="151"/>
      <c r="I44" s="140"/>
      <c r="J44" s="140"/>
      <c r="K44" s="140"/>
      <c r="L44" s="147">
        <f>IFERROR(__xludf.DUMMYFUNCTION("""COMPUTED_VALUE"""),2822159.0)</f>
        <v>2822159</v>
      </c>
      <c r="M44" s="148" t="str">
        <f>IFERROR(__xludf.DUMMYFUNCTION("""COMPUTED_VALUE"""),"Managing for Better Ideas")</f>
        <v>Managing for Better Ideas</v>
      </c>
      <c r="N44" s="147" t="str">
        <f>IFERROR(__xludf.DUMMYFUNCTION("""COMPUTED_VALUE"""),"Manager")</f>
        <v>Manager</v>
      </c>
      <c r="O44" s="141" t="str">
        <f>IFERROR(__xludf.DUMMYFUNCTION("""COMPUTED_VALUE"""),"Intermediate")</f>
        <v>Intermediate</v>
      </c>
      <c r="P44" s="143">
        <f>IFERROR(__xludf.DUMMYFUNCTION("""COMPUTED_VALUE"""),0.01837962962962963)</f>
        <v>0.01837962963</v>
      </c>
      <c r="Q44" s="151"/>
      <c r="R44" s="140"/>
      <c r="S44" s="140"/>
    </row>
    <row r="45" ht="33.75" customHeight="1">
      <c r="A45" s="140"/>
      <c r="B45" s="140"/>
      <c r="C45" s="147">
        <f>IFERROR(__xludf.DUMMYFUNCTION("""COMPUTED_VALUE"""),2974166.0)</f>
        <v>2974166</v>
      </c>
      <c r="D45" s="148" t="str">
        <f>IFERROR(__xludf.DUMMYFUNCTION("""COMPUTED_VALUE"""),"Leadership Tips, Tactics and Advice")</f>
        <v>Leadership Tips, Tactics and Advice</v>
      </c>
      <c r="E45" s="147" t="str">
        <f>IFERROR(__xludf.DUMMYFUNCTION("""COMPUTED_VALUE"""),"Manager")</f>
        <v>Manager</v>
      </c>
      <c r="F45" s="141" t="str">
        <f>IFERROR(__xludf.DUMMYFUNCTION("""COMPUTED_VALUE"""),"Beginner")</f>
        <v>Beginner</v>
      </c>
      <c r="G45" s="143">
        <f>IFERROR(__xludf.DUMMYFUNCTION("""COMPUTED_VALUE"""),0.03868055555555556)</f>
        <v>0.03868055556</v>
      </c>
      <c r="H45" s="151"/>
      <c r="I45" s="140"/>
      <c r="J45" s="140"/>
      <c r="K45" s="140"/>
      <c r="L45" s="147">
        <f>IFERROR(__xludf.DUMMYFUNCTION("""COMPUTED_VALUE"""),2228264.0)</f>
        <v>2228264</v>
      </c>
      <c r="M45" s="148" t="str">
        <f>IFERROR(__xludf.DUMMYFUNCTION("""COMPUTED_VALUE"""),"Having Career Conversations with Your Team")</f>
        <v>Having Career Conversations with Your Team</v>
      </c>
      <c r="N45" s="147" t="str">
        <f>IFERROR(__xludf.DUMMYFUNCTION("""COMPUTED_VALUE"""),"Manager")</f>
        <v>Manager</v>
      </c>
      <c r="O45" s="141" t="str">
        <f>IFERROR(__xludf.DUMMYFUNCTION("""COMPUTED_VALUE"""),"Intermediate")</f>
        <v>Intermediate</v>
      </c>
      <c r="P45" s="143">
        <f>IFERROR(__xludf.DUMMYFUNCTION("""COMPUTED_VALUE"""),0.04111111111111111)</f>
        <v>0.04111111111</v>
      </c>
      <c r="Q45" s="151"/>
      <c r="R45" s="140"/>
      <c r="S45" s="140"/>
    </row>
    <row r="46" ht="33.75" customHeight="1">
      <c r="A46" s="140"/>
      <c r="B46" s="140"/>
      <c r="C46" s="147">
        <f>IFERROR(__xludf.DUMMYFUNCTION("""COMPUTED_VALUE"""),2877031.0)</f>
        <v>2877031</v>
      </c>
      <c r="D46" s="148" t="str">
        <f>IFERROR(__xludf.DUMMYFUNCTION("""COMPUTED_VALUE"""),"Key Mental Shifts for Servant Leadership")</f>
        <v>Key Mental Shifts for Servant Leadership</v>
      </c>
      <c r="E46" s="147" t="str">
        <f>IFERROR(__xludf.DUMMYFUNCTION("""COMPUTED_VALUE"""),"Manager")</f>
        <v>Manager</v>
      </c>
      <c r="F46" s="141" t="str">
        <f>IFERROR(__xludf.DUMMYFUNCTION("""COMPUTED_VALUE"""),"Beginner")</f>
        <v>Beginner</v>
      </c>
      <c r="G46" s="143">
        <f>IFERROR(__xludf.DUMMYFUNCTION("""COMPUTED_VALUE"""),0.018773148148148146)</f>
        <v>0.01877314815</v>
      </c>
      <c r="H46" s="151"/>
      <c r="I46" s="140"/>
      <c r="J46" s="140"/>
      <c r="K46" s="140"/>
      <c r="L46" s="147">
        <f>IFERROR(__xludf.DUMMYFUNCTION("""COMPUTED_VALUE"""),2820016.0)</f>
        <v>2820016</v>
      </c>
      <c r="M46" s="148" t="str">
        <f>IFERROR(__xludf.DUMMYFUNCTION("""COMPUTED_VALUE"""),"Succeeding as a First-Time Tech Manager")</f>
        <v>Succeeding as a First-Time Tech Manager</v>
      </c>
      <c r="N46" s="147" t="str">
        <f>IFERROR(__xludf.DUMMYFUNCTION("""COMPUTED_VALUE"""),"Manager")</f>
        <v>Manager</v>
      </c>
      <c r="O46" s="141" t="str">
        <f>IFERROR(__xludf.DUMMYFUNCTION("""COMPUTED_VALUE"""),"Intermediate")</f>
        <v>Intermediate</v>
      </c>
      <c r="P46" s="143">
        <f>IFERROR(__xludf.DUMMYFUNCTION("""COMPUTED_VALUE"""),0.030428240740740742)</f>
        <v>0.03042824074</v>
      </c>
      <c r="Q46" s="151"/>
      <c r="R46" s="140"/>
      <c r="S46" s="140"/>
    </row>
    <row r="47" ht="33.75" customHeight="1">
      <c r="A47" s="140"/>
      <c r="B47" s="140"/>
      <c r="C47" s="147">
        <f>IFERROR(__xludf.DUMMYFUNCTION("""COMPUTED_VALUE"""),2428601.0)</f>
        <v>2428601</v>
      </c>
      <c r="D47" s="148" t="str">
        <f>IFERROR(__xludf.DUMMYFUNCTION("""COMPUTED_VALUE"""),"Creating a Culture That Inspires Your Employees")</f>
        <v>Creating a Culture That Inspires Your Employees</v>
      </c>
      <c r="E47" s="147" t="str">
        <f>IFERROR(__xludf.DUMMYFUNCTION("""COMPUTED_VALUE"""),"Manager")</f>
        <v>Manager</v>
      </c>
      <c r="F47" s="141" t="str">
        <f>IFERROR(__xludf.DUMMYFUNCTION("""COMPUTED_VALUE"""),"Beginner")</f>
        <v>Beginner</v>
      </c>
      <c r="G47" s="143">
        <f>IFERROR(__xludf.DUMMYFUNCTION("""COMPUTED_VALUE"""),0.056400462962962965)</f>
        <v>0.05640046296</v>
      </c>
      <c r="H47" s="151"/>
      <c r="I47" s="140"/>
      <c r="J47" s="140"/>
      <c r="K47" s="140"/>
      <c r="L47" s="147">
        <f>IFERROR(__xludf.DUMMYFUNCTION("""COMPUTED_VALUE"""),2885092.0)</f>
        <v>2885092</v>
      </c>
      <c r="M47" s="148" t="str">
        <f>IFERROR(__xludf.DUMMYFUNCTION("""COMPUTED_VALUE"""),"Managing Skills for Remote Leaders")</f>
        <v>Managing Skills for Remote Leaders</v>
      </c>
      <c r="N47" s="147" t="str">
        <f>IFERROR(__xludf.DUMMYFUNCTION("""COMPUTED_VALUE"""),"Manager")</f>
        <v>Manager</v>
      </c>
      <c r="O47" s="141" t="str">
        <f>IFERROR(__xludf.DUMMYFUNCTION("""COMPUTED_VALUE"""),"Intermediate")</f>
        <v>Intermediate</v>
      </c>
      <c r="P47" s="143">
        <f>IFERROR(__xludf.DUMMYFUNCTION("""COMPUTED_VALUE"""),0.05008101851851852)</f>
        <v>0.05008101852</v>
      </c>
      <c r="Q47" s="151"/>
      <c r="R47" s="140"/>
      <c r="S47" s="140"/>
    </row>
    <row r="48" ht="33.75" customHeight="1">
      <c r="A48" s="140"/>
      <c r="B48" s="140"/>
      <c r="C48" s="147">
        <f>IFERROR(__xludf.DUMMYFUNCTION("""COMPUTED_VALUE"""),5034158.0)</f>
        <v>5034158</v>
      </c>
      <c r="D48" s="148" t="str">
        <f>IFERROR(__xludf.DUMMYFUNCTION("""COMPUTED_VALUE"""),"Developing Credibility as a Leader")</f>
        <v>Developing Credibility as a Leader</v>
      </c>
      <c r="E48" s="147" t="str">
        <f>IFERROR(__xludf.DUMMYFUNCTION("""COMPUTED_VALUE"""),"Manager")</f>
        <v>Manager</v>
      </c>
      <c r="F48" s="141" t="str">
        <f>IFERROR(__xludf.DUMMYFUNCTION("""COMPUTED_VALUE"""),"Beginner + Intermediate")</f>
        <v>Beginner + Intermediate</v>
      </c>
      <c r="G48" s="143">
        <f>IFERROR(__xludf.DUMMYFUNCTION("""COMPUTED_VALUE"""),0.02431712962962963)</f>
        <v>0.02431712963</v>
      </c>
      <c r="H48" s="151"/>
      <c r="I48" s="140"/>
      <c r="J48" s="140"/>
      <c r="K48" s="140"/>
      <c r="L48" s="147">
        <f>IFERROR(__xludf.DUMMYFUNCTION("""COMPUTED_VALUE"""),2882043.0)</f>
        <v>2882043</v>
      </c>
      <c r="M48" s="148" t="str">
        <f>IFERROR(__xludf.DUMMYFUNCTION("""COMPUTED_VALUE"""),"Leadership through Feedback")</f>
        <v>Leadership through Feedback</v>
      </c>
      <c r="N48" s="147" t="str">
        <f>IFERROR(__xludf.DUMMYFUNCTION("""COMPUTED_VALUE"""),"Manager")</f>
        <v>Manager</v>
      </c>
      <c r="O48" s="141" t="str">
        <f>IFERROR(__xludf.DUMMYFUNCTION("""COMPUTED_VALUE"""),"Intermediate")</f>
        <v>Intermediate</v>
      </c>
      <c r="P48" s="143">
        <f>IFERROR(__xludf.DUMMYFUNCTION("""COMPUTED_VALUE"""),0.05641203703703704)</f>
        <v>0.05641203704</v>
      </c>
      <c r="Q48" s="151"/>
      <c r="R48" s="140"/>
      <c r="S48" s="140"/>
    </row>
    <row r="49" ht="33.75" customHeight="1">
      <c r="A49" s="140"/>
      <c r="B49" s="140"/>
      <c r="C49" s="147">
        <f>IFERROR(__xludf.DUMMYFUNCTION("""COMPUTED_VALUE"""),797724.0)</f>
        <v>797724</v>
      </c>
      <c r="D49" s="148" t="str">
        <f>IFERROR(__xludf.DUMMYFUNCTION("""COMPUTED_VALUE"""),"Leading at a Distance")</f>
        <v>Leading at a Distance</v>
      </c>
      <c r="E49" s="147" t="str">
        <f>IFERROR(__xludf.DUMMYFUNCTION("""COMPUTED_VALUE"""),"Manager")</f>
        <v>Manager</v>
      </c>
      <c r="F49" s="141" t="str">
        <f>IFERROR(__xludf.DUMMYFUNCTION("""COMPUTED_VALUE"""),"Beginner + Intermediate")</f>
        <v>Beginner + Intermediate</v>
      </c>
      <c r="G49" s="143">
        <f>IFERROR(__xludf.DUMMYFUNCTION("""COMPUTED_VALUE"""),0.025578703703703704)</f>
        <v>0.0255787037</v>
      </c>
      <c r="H49" s="151"/>
      <c r="I49" s="140"/>
      <c r="J49" s="140"/>
      <c r="K49" s="140"/>
      <c r="L49" s="147">
        <f>IFERROR(__xludf.DUMMYFUNCTION("""COMPUTED_VALUE"""),2889112.0)</f>
        <v>2889112</v>
      </c>
      <c r="M49" s="148" t="str">
        <f>IFERROR(__xludf.DUMMYFUNCTION("""COMPUTED_VALUE"""),"How to Be an Effective Remote Manager")</f>
        <v>How to Be an Effective Remote Manager</v>
      </c>
      <c r="N49" s="147" t="str">
        <f>IFERROR(__xludf.DUMMYFUNCTION("""COMPUTED_VALUE"""),"Manager")</f>
        <v>Manager</v>
      </c>
      <c r="O49" s="141" t="str">
        <f>IFERROR(__xludf.DUMMYFUNCTION("""COMPUTED_VALUE"""),"Intermediate")</f>
        <v>Intermediate</v>
      </c>
      <c r="P49" s="143">
        <f>IFERROR(__xludf.DUMMYFUNCTION("""COMPUTED_VALUE"""),0.04804398148148148)</f>
        <v>0.04804398148</v>
      </c>
      <c r="Q49" s="151"/>
      <c r="R49" s="140"/>
      <c r="S49" s="140"/>
    </row>
    <row r="50" ht="33.75" customHeight="1">
      <c r="A50" s="140"/>
      <c r="B50" s="140"/>
      <c r="C50" s="147">
        <f>IFERROR(__xludf.DUMMYFUNCTION("""COMPUTED_VALUE"""),756283.0)</f>
        <v>756283</v>
      </c>
      <c r="D50" s="148" t="str">
        <f>IFERROR(__xludf.DUMMYFUNCTION("""COMPUTED_VALUE"""),"Leading with Emotional Intelligence")</f>
        <v>Leading with Emotional Intelligence</v>
      </c>
      <c r="E50" s="147" t="str">
        <f>IFERROR(__xludf.DUMMYFUNCTION("""COMPUTED_VALUE"""),"Manager")</f>
        <v>Manager</v>
      </c>
      <c r="F50" s="141" t="str">
        <f>IFERROR(__xludf.DUMMYFUNCTION("""COMPUTED_VALUE"""),"Beginner + Intermediate")</f>
        <v>Beginner + Intermediate</v>
      </c>
      <c r="G50" s="143">
        <f>IFERROR(__xludf.DUMMYFUNCTION("""COMPUTED_VALUE"""),0.04310185185185185)</f>
        <v>0.04310185185</v>
      </c>
      <c r="H50" s="151"/>
      <c r="I50" s="140"/>
      <c r="J50" s="140"/>
      <c r="K50" s="140"/>
      <c r="L50" s="147">
        <f>IFERROR(__xludf.DUMMYFUNCTION("""COMPUTED_VALUE"""),2888109.0)</f>
        <v>2888109</v>
      </c>
      <c r="M50" s="148" t="str">
        <f>IFERROR(__xludf.DUMMYFUNCTION("""COMPUTED_VALUE"""),"How to Build Virtual Accountability")</f>
        <v>How to Build Virtual Accountability</v>
      </c>
      <c r="N50" s="147" t="str">
        <f>IFERROR(__xludf.DUMMYFUNCTION("""COMPUTED_VALUE"""),"Manager")</f>
        <v>Manager</v>
      </c>
      <c r="O50" s="141" t="str">
        <f>IFERROR(__xludf.DUMMYFUNCTION("""COMPUTED_VALUE"""),"Intermediate")</f>
        <v>Intermediate</v>
      </c>
      <c r="P50" s="143">
        <f>IFERROR(__xludf.DUMMYFUNCTION("""COMPUTED_VALUE"""),0.039907407407407405)</f>
        <v>0.03990740741</v>
      </c>
      <c r="Q50" s="151"/>
      <c r="R50" s="140"/>
      <c r="S50" s="140"/>
    </row>
    <row r="51" ht="33.75" customHeight="1">
      <c r="A51" s="140"/>
      <c r="B51" s="140"/>
      <c r="C51" s="147">
        <f>IFERROR(__xludf.DUMMYFUNCTION("""COMPUTED_VALUE"""),5022323.0)</f>
        <v>5022323</v>
      </c>
      <c r="D51" s="148" t="str">
        <f>IFERROR(__xludf.DUMMYFUNCTION("""COMPUTED_VALUE"""),"Leading with Stories")</f>
        <v>Leading with Stories</v>
      </c>
      <c r="E51" s="147" t="str">
        <f>IFERROR(__xludf.DUMMYFUNCTION("""COMPUTED_VALUE"""),"Manager")</f>
        <v>Manager</v>
      </c>
      <c r="F51" s="141" t="str">
        <f>IFERROR(__xludf.DUMMYFUNCTION("""COMPUTED_VALUE"""),"Intermediate")</f>
        <v>Intermediate</v>
      </c>
      <c r="G51" s="143">
        <f>IFERROR(__xludf.DUMMYFUNCTION("""COMPUTED_VALUE"""),0.027060185185185184)</f>
        <v>0.02706018519</v>
      </c>
      <c r="H51" s="151"/>
      <c r="I51" s="140"/>
      <c r="J51" s="140"/>
      <c r="K51" s="140"/>
      <c r="L51" s="147">
        <f>IFERROR(__xludf.DUMMYFUNCTION("""COMPUTED_VALUE"""),2423648.0)</f>
        <v>2423648</v>
      </c>
      <c r="M51" s="148" t="str">
        <f>IFERROR(__xludf.DUMMYFUNCTION("""COMPUTED_VALUE"""),"Delegating from a Distance")</f>
        <v>Delegating from a Distance</v>
      </c>
      <c r="N51" s="147" t="str">
        <f>IFERROR(__xludf.DUMMYFUNCTION("""COMPUTED_VALUE"""),"Manager")</f>
        <v>Manager</v>
      </c>
      <c r="O51" s="141" t="str">
        <f>IFERROR(__xludf.DUMMYFUNCTION("""COMPUTED_VALUE"""),"Intermediate")</f>
        <v>Intermediate</v>
      </c>
      <c r="P51" s="143">
        <f>IFERROR(__xludf.DUMMYFUNCTION("""COMPUTED_VALUE"""),0.016666666666666666)</f>
        <v>0.01666666667</v>
      </c>
      <c r="Q51" s="151"/>
      <c r="R51" s="140"/>
      <c r="S51" s="140"/>
    </row>
    <row r="52" ht="33.75" customHeight="1">
      <c r="A52" s="140"/>
      <c r="B52" s="140"/>
      <c r="C52" s="147">
        <f>IFERROR(__xludf.DUMMYFUNCTION("""COMPUTED_VALUE"""),713373.0)</f>
        <v>713373</v>
      </c>
      <c r="D52" s="148" t="str">
        <f>IFERROR(__xludf.DUMMYFUNCTION("""COMPUTED_VALUE"""),"Coaching Skills for Leaders and Managers")</f>
        <v>Coaching Skills for Leaders and Managers</v>
      </c>
      <c r="E52" s="147" t="str">
        <f>IFERROR(__xludf.DUMMYFUNCTION("""COMPUTED_VALUE"""),"Manager")</f>
        <v>Manager</v>
      </c>
      <c r="F52" s="141" t="str">
        <f>IFERROR(__xludf.DUMMYFUNCTION("""COMPUTED_VALUE"""),"Intermediate")</f>
        <v>Intermediate</v>
      </c>
      <c r="G52" s="143">
        <f>IFERROR(__xludf.DUMMYFUNCTION("""COMPUTED_VALUE"""),0.023796296296296298)</f>
        <v>0.0237962963</v>
      </c>
      <c r="H52" s="151"/>
      <c r="I52" s="140"/>
      <c r="J52" s="140"/>
      <c r="K52" s="140"/>
      <c r="L52" s="147">
        <f>IFERROR(__xludf.DUMMYFUNCTION("""COMPUTED_VALUE"""),2885131.0)</f>
        <v>2885131</v>
      </c>
      <c r="M52" s="148" t="str">
        <f>IFERROR(__xludf.DUMMYFUNCTION("""COMPUTED_VALUE"""),"Management Excellence at Microsoft: Model, Coach, Care")</f>
        <v>Management Excellence at Microsoft: Model, Coach, Care</v>
      </c>
      <c r="N52" s="147" t="str">
        <f>IFERROR(__xludf.DUMMYFUNCTION("""COMPUTED_VALUE"""),"Manager")</f>
        <v>Manager</v>
      </c>
      <c r="O52" s="141" t="str">
        <f>IFERROR(__xludf.DUMMYFUNCTION("""COMPUTED_VALUE"""),"Intermediate")</f>
        <v>Intermediate</v>
      </c>
      <c r="P52" s="143">
        <f>IFERROR(__xludf.DUMMYFUNCTION("""COMPUTED_VALUE"""),0.03260416666666666)</f>
        <v>0.03260416667</v>
      </c>
      <c r="Q52" s="151"/>
      <c r="R52" s="140"/>
      <c r="S52" s="140"/>
    </row>
    <row r="53" ht="33.75" customHeight="1">
      <c r="A53" s="140"/>
      <c r="B53" s="140"/>
      <c r="C53" s="147">
        <f>IFERROR(__xludf.DUMMYFUNCTION("""COMPUTED_VALUE"""),672869.0)</f>
        <v>672869</v>
      </c>
      <c r="D53" s="148" t="str">
        <f>IFERROR(__xludf.DUMMYFUNCTION("""COMPUTED_VALUE"""),"Lead Like a Boss")</f>
        <v>Lead Like a Boss</v>
      </c>
      <c r="E53" s="147" t="str">
        <f>IFERROR(__xludf.DUMMYFUNCTION("""COMPUTED_VALUE"""),"Manager")</f>
        <v>Manager</v>
      </c>
      <c r="F53" s="141" t="str">
        <f>IFERROR(__xludf.DUMMYFUNCTION("""COMPUTED_VALUE"""),"Intermediate")</f>
        <v>Intermediate</v>
      </c>
      <c r="G53" s="143">
        <f>IFERROR(__xludf.DUMMYFUNCTION("""COMPUTED_VALUE"""),0.03189814814814815)</f>
        <v>0.03189814815</v>
      </c>
      <c r="H53" s="151"/>
      <c r="I53" s="140"/>
      <c r="J53" s="140"/>
      <c r="K53" s="140"/>
      <c r="L53" s="147">
        <f>IFERROR(__xludf.DUMMYFUNCTION("""COMPUTED_VALUE"""),2880061.0)</f>
        <v>2880061</v>
      </c>
      <c r="M53" s="148" t="str">
        <f>IFERROR(__xludf.DUMMYFUNCTION("""COMPUTED_VALUE"""),"Become a Better Coach for Your Team")</f>
        <v>Become a Better Coach for Your Team</v>
      </c>
      <c r="N53" s="147" t="str">
        <f>IFERROR(__xludf.DUMMYFUNCTION("""COMPUTED_VALUE"""),"Individual Contributor")</f>
        <v>Individual Contributor</v>
      </c>
      <c r="O53" s="141" t="str">
        <f>IFERROR(__xludf.DUMMYFUNCTION("""COMPUTED_VALUE"""),"Intermediate")</f>
        <v>Intermediate</v>
      </c>
      <c r="P53" s="143">
        <f>IFERROR(__xludf.DUMMYFUNCTION("""COMPUTED_VALUE"""),0.03815972222222222)</f>
        <v>0.03815972222</v>
      </c>
      <c r="Q53" s="151"/>
      <c r="R53" s="140"/>
      <c r="S53" s="140"/>
    </row>
    <row r="54" ht="33.75" customHeight="1">
      <c r="A54" s="140"/>
      <c r="B54" s="140"/>
      <c r="C54" s="147">
        <f>IFERROR(__xludf.DUMMYFUNCTION("""COMPUTED_VALUE"""),175129.0)</f>
        <v>175129</v>
      </c>
      <c r="D54" s="148" t="str">
        <f>IFERROR(__xludf.DUMMYFUNCTION("""COMPUTED_VALUE"""),"Leading and Working in Teams")</f>
        <v>Leading and Working in Teams</v>
      </c>
      <c r="E54" s="147" t="str">
        <f>IFERROR(__xludf.DUMMYFUNCTION("""COMPUTED_VALUE"""),"Manager")</f>
        <v>Manager</v>
      </c>
      <c r="F54" s="141" t="str">
        <f>IFERROR(__xludf.DUMMYFUNCTION("""COMPUTED_VALUE"""),"Intermediate")</f>
        <v>Intermediate</v>
      </c>
      <c r="G54" s="143">
        <f>IFERROR(__xludf.DUMMYFUNCTION("""COMPUTED_VALUE"""),0.017361111111111112)</f>
        <v>0.01736111111</v>
      </c>
      <c r="H54" s="151"/>
      <c r="I54" s="140"/>
      <c r="J54" s="140"/>
      <c r="K54" s="140"/>
      <c r="L54" s="147">
        <f>IFERROR(__xludf.DUMMYFUNCTION("""COMPUTED_VALUE"""),647657.0)</f>
        <v>647657</v>
      </c>
      <c r="M54" s="148" t="str">
        <f>IFERROR(__xludf.DUMMYFUNCTION("""COMPUTED_VALUE"""),"Boosting Your Team's Productivity")</f>
        <v>Boosting Your Team's Productivity</v>
      </c>
      <c r="N54" s="147" t="str">
        <f>IFERROR(__xludf.DUMMYFUNCTION("""COMPUTED_VALUE"""),"General")</f>
        <v>General</v>
      </c>
      <c r="O54" s="141" t="str">
        <f>IFERROR(__xludf.DUMMYFUNCTION("""COMPUTED_VALUE"""),"General")</f>
        <v>General</v>
      </c>
      <c r="P54" s="143">
        <f>IFERROR(__xludf.DUMMYFUNCTION("""COMPUTED_VALUE"""),0.027175925925925926)</f>
        <v>0.02717592593</v>
      </c>
      <c r="Q54" s="151"/>
      <c r="R54" s="140"/>
      <c r="S54" s="140"/>
    </row>
    <row r="55" ht="33.75" customHeight="1">
      <c r="A55" s="140"/>
      <c r="B55" s="140"/>
      <c r="C55" s="147">
        <f>IFERROR(__xludf.DUMMYFUNCTION("""COMPUTED_VALUE"""),647651.0)</f>
        <v>647651</v>
      </c>
      <c r="D55" s="148" t="str">
        <f>IFERROR(__xludf.DUMMYFUNCTION("""COMPUTED_VALUE"""),"Leading Effectively")</f>
        <v>Leading Effectively</v>
      </c>
      <c r="E55" s="147" t="str">
        <f>IFERROR(__xludf.DUMMYFUNCTION("""COMPUTED_VALUE"""),"Manager")</f>
        <v>Manager</v>
      </c>
      <c r="F55" s="141" t="str">
        <f>IFERROR(__xludf.DUMMYFUNCTION("""COMPUTED_VALUE"""),"Intermediate")</f>
        <v>Intermediate</v>
      </c>
      <c r="G55" s="143">
        <f>IFERROR(__xludf.DUMMYFUNCTION("""COMPUTED_VALUE"""),0.030532407407407407)</f>
        <v>0.03053240741</v>
      </c>
      <c r="H55" s="151"/>
      <c r="I55" s="140"/>
      <c r="J55" s="140"/>
      <c r="K55" s="140"/>
      <c r="L55" s="147">
        <f>IFERROR(__xludf.DUMMYFUNCTION("""COMPUTED_VALUE"""),746303.0)</f>
        <v>746303</v>
      </c>
      <c r="M55" s="148" t="str">
        <f>IFERROR(__xludf.DUMMYFUNCTION("""COMPUTED_VALUE"""),"Having Difficult Conversations")</f>
        <v>Having Difficult Conversations</v>
      </c>
      <c r="N55" s="147" t="str">
        <f>IFERROR(__xludf.DUMMYFUNCTION("""COMPUTED_VALUE"""),"General")</f>
        <v>General</v>
      </c>
      <c r="O55" s="141" t="str">
        <f>IFERROR(__xludf.DUMMYFUNCTION("""COMPUTED_VALUE"""),"General")</f>
        <v>General</v>
      </c>
      <c r="P55" s="143">
        <f>IFERROR(__xludf.DUMMYFUNCTION("""COMPUTED_VALUE"""),0.04663194444444444)</f>
        <v>0.04663194444</v>
      </c>
      <c r="Q55" s="151"/>
      <c r="R55" s="140"/>
      <c r="S55" s="140"/>
    </row>
    <row r="56" ht="33.75" customHeight="1">
      <c r="A56" s="140"/>
      <c r="B56" s="140"/>
      <c r="C56" s="147">
        <f>IFERROR(__xludf.DUMMYFUNCTION("""COMPUTED_VALUE"""),447322.0)</f>
        <v>447322</v>
      </c>
      <c r="D56" s="148" t="str">
        <f>IFERROR(__xludf.DUMMYFUNCTION("""COMPUTED_VALUE"""),"Leading a Marketing Team")</f>
        <v>Leading a Marketing Team</v>
      </c>
      <c r="E56" s="147" t="str">
        <f>IFERROR(__xludf.DUMMYFUNCTION("""COMPUTED_VALUE"""),"Manager")</f>
        <v>Manager</v>
      </c>
      <c r="F56" s="141" t="str">
        <f>IFERROR(__xludf.DUMMYFUNCTION("""COMPUTED_VALUE"""),"Intermediate")</f>
        <v>Intermediate</v>
      </c>
      <c r="G56" s="143">
        <f>IFERROR(__xludf.DUMMYFUNCTION("""COMPUTED_VALUE"""),0.032789351851851854)</f>
        <v>0.03278935185</v>
      </c>
      <c r="H56" s="151"/>
      <c r="I56" s="140"/>
      <c r="J56" s="140"/>
      <c r="K56" s="140"/>
      <c r="L56" s="147">
        <f>IFERROR(__xludf.DUMMYFUNCTION("""COMPUTED_VALUE"""),2825706.0)</f>
        <v>2825706</v>
      </c>
      <c r="M56" s="148" t="str">
        <f>IFERROR(__xludf.DUMMYFUNCTION("""COMPUTED_VALUE"""),"Configure and Manage Office 365 Workload Integrations (Office 365/Microsoft 365)")</f>
        <v>Configure and Manage Office 365 Workload Integrations (Office 365/Microsoft 365)</v>
      </c>
      <c r="N56" s="147" t="str">
        <f>IFERROR(__xludf.DUMMYFUNCTION("""COMPUTED_VALUE"""),"General")</f>
        <v>General</v>
      </c>
      <c r="O56" s="141" t="str">
        <f>IFERROR(__xludf.DUMMYFUNCTION("""COMPUTED_VALUE"""),"Beginner")</f>
        <v>Beginner</v>
      </c>
      <c r="P56" s="143">
        <f>IFERROR(__xludf.DUMMYFUNCTION("""COMPUTED_VALUE"""),0.07284722222222222)</f>
        <v>0.07284722222</v>
      </c>
      <c r="Q56" s="151"/>
      <c r="R56" s="140"/>
      <c r="S56" s="140"/>
    </row>
    <row r="57" ht="33.75" customHeight="1">
      <c r="A57" s="140"/>
      <c r="B57" s="140"/>
      <c r="C57" s="147">
        <f>IFERROR(__xludf.DUMMYFUNCTION("""COMPUTED_VALUE"""),808670.0)</f>
        <v>808670</v>
      </c>
      <c r="D57" s="148" t="str">
        <f>IFERROR(__xludf.DUMMYFUNCTION("""COMPUTED_VALUE"""),"Leading through Relationships")</f>
        <v>Leading through Relationships</v>
      </c>
      <c r="E57" s="147" t="str">
        <f>IFERROR(__xludf.DUMMYFUNCTION("""COMPUTED_VALUE"""),"Manager")</f>
        <v>Manager</v>
      </c>
      <c r="F57" s="141" t="str">
        <f>IFERROR(__xludf.DUMMYFUNCTION("""COMPUTED_VALUE"""),"Intermediate")</f>
        <v>Intermediate</v>
      </c>
      <c r="G57" s="143">
        <f>IFERROR(__xludf.DUMMYFUNCTION("""COMPUTED_VALUE"""),0.03384259259259259)</f>
        <v>0.03384259259</v>
      </c>
      <c r="H57" s="151"/>
      <c r="I57" s="140"/>
      <c r="J57" s="140"/>
      <c r="K57" s="140"/>
      <c r="L57" s="147">
        <f>IFERROR(__xludf.DUMMYFUNCTION("""COMPUTED_VALUE"""),2834000.0)</f>
        <v>2834000</v>
      </c>
      <c r="M57" s="148" t="str">
        <f>IFERROR(__xludf.DUMMYFUNCTION("""COMPUTED_VALUE"""),"Project Leadership")</f>
        <v>Project Leadership</v>
      </c>
      <c r="N57" s="147" t="str">
        <f>IFERROR(__xludf.DUMMYFUNCTION("""COMPUTED_VALUE"""),"General")</f>
        <v>General</v>
      </c>
      <c r="O57" s="141" t="str">
        <f>IFERROR(__xludf.DUMMYFUNCTION("""COMPUTED_VALUE"""),"Beginner")</f>
        <v>Beginner</v>
      </c>
      <c r="P57" s="143">
        <f>IFERROR(__xludf.DUMMYFUNCTION("""COMPUTED_VALUE"""),0.029988425925925925)</f>
        <v>0.02998842593</v>
      </c>
      <c r="Q57" s="151"/>
      <c r="R57" s="140"/>
      <c r="S57" s="140"/>
    </row>
    <row r="58" ht="33.75" customHeight="1">
      <c r="A58" s="140"/>
      <c r="B58" s="140"/>
      <c r="C58" s="147">
        <f>IFERROR(__xludf.DUMMYFUNCTION("""COMPUTED_VALUE"""),2802024.0)</f>
        <v>2802024</v>
      </c>
      <c r="D58" s="148" t="str">
        <f>IFERROR(__xludf.DUMMYFUNCTION("""COMPUTED_VALUE"""),"Business Ethics for Managers and Leaders")</f>
        <v>Business Ethics for Managers and Leaders</v>
      </c>
      <c r="E58" s="147" t="str">
        <f>IFERROR(__xludf.DUMMYFUNCTION("""COMPUTED_VALUE"""),"Manager")</f>
        <v>Manager</v>
      </c>
      <c r="F58" s="141" t="str">
        <f>IFERROR(__xludf.DUMMYFUNCTION("""COMPUTED_VALUE"""),"Intermediate")</f>
        <v>Intermediate</v>
      </c>
      <c r="G58" s="143">
        <f>IFERROR(__xludf.DUMMYFUNCTION("""COMPUTED_VALUE"""),0.046168981481481484)</f>
        <v>0.04616898148</v>
      </c>
      <c r="H58" s="151"/>
      <c r="I58" s="140"/>
      <c r="J58" s="140"/>
      <c r="K58" s="140"/>
      <c r="L58" s="147">
        <f>IFERROR(__xludf.DUMMYFUNCTION("""COMPUTED_VALUE"""),2839044.0)</f>
        <v>2839044</v>
      </c>
      <c r="M58" s="148" t="str">
        <f>IFERROR(__xludf.DUMMYFUNCTION("""COMPUTED_VALUE"""),"How to Effectively Deliver Criticism")</f>
        <v>How to Effectively Deliver Criticism</v>
      </c>
      <c r="N58" s="147" t="str">
        <f>IFERROR(__xludf.DUMMYFUNCTION("""COMPUTED_VALUE"""),"General")</f>
        <v>General</v>
      </c>
      <c r="O58" s="141" t="str">
        <f>IFERROR(__xludf.DUMMYFUNCTION("""COMPUTED_VALUE"""),"Beginner")</f>
        <v>Beginner</v>
      </c>
      <c r="P58" s="143">
        <f>IFERROR(__xludf.DUMMYFUNCTION("""COMPUTED_VALUE"""),0.00931712962962963)</f>
        <v>0.00931712963</v>
      </c>
      <c r="Q58" s="151"/>
      <c r="R58" s="140"/>
      <c r="S58" s="140"/>
    </row>
    <row r="59" ht="33.75" customHeight="1">
      <c r="A59" s="140"/>
      <c r="B59" s="140"/>
      <c r="C59" s="147">
        <f>IFERROR(__xludf.DUMMYFUNCTION("""COMPUTED_VALUE"""),2812534.0)</f>
        <v>2812534</v>
      </c>
      <c r="D59" s="148" t="str">
        <f>IFERROR(__xludf.DUMMYFUNCTION("""COMPUTED_VALUE"""),"Lessons in Enlightened Leadership")</f>
        <v>Lessons in Enlightened Leadership</v>
      </c>
      <c r="E59" s="147" t="str">
        <f>IFERROR(__xludf.DUMMYFUNCTION("""COMPUTED_VALUE"""),"Manager")</f>
        <v>Manager</v>
      </c>
      <c r="F59" s="141" t="str">
        <f>IFERROR(__xludf.DUMMYFUNCTION("""COMPUTED_VALUE"""),"Intermediate")</f>
        <v>Intermediate</v>
      </c>
      <c r="G59" s="143">
        <f>IFERROR(__xludf.DUMMYFUNCTION("""COMPUTED_VALUE"""),0.039467592592592596)</f>
        <v>0.03946759259</v>
      </c>
      <c r="H59" s="151"/>
      <c r="I59" s="140"/>
      <c r="J59" s="140"/>
      <c r="K59" s="140"/>
      <c r="L59" s="147">
        <f>IFERROR(__xludf.DUMMYFUNCTION("""COMPUTED_VALUE"""),2874216.0)</f>
        <v>2874216</v>
      </c>
      <c r="M59" s="148" t="str">
        <f>IFERROR(__xludf.DUMMYFUNCTION("""COMPUTED_VALUE"""),"Mindful Leadership")</f>
        <v>Mindful Leadership</v>
      </c>
      <c r="N59" s="147" t="str">
        <f>IFERROR(__xludf.DUMMYFUNCTION("""COMPUTED_VALUE"""),"General")</f>
        <v>General</v>
      </c>
      <c r="O59" s="141" t="str">
        <f>IFERROR(__xludf.DUMMYFUNCTION("""COMPUTED_VALUE"""),"Beginner")</f>
        <v>Beginner</v>
      </c>
      <c r="P59" s="143">
        <f>IFERROR(__xludf.DUMMYFUNCTION("""COMPUTED_VALUE"""),0.02375)</f>
        <v>0.02375</v>
      </c>
      <c r="Q59" s="151"/>
      <c r="R59" s="140"/>
      <c r="S59" s="140"/>
    </row>
    <row r="60" ht="33.75" customHeight="1">
      <c r="A60" s="140"/>
      <c r="B60" s="140"/>
      <c r="C60" s="147">
        <f>IFERROR(__xludf.DUMMYFUNCTION("""COMPUTED_VALUE"""),2228264.0)</f>
        <v>2228264</v>
      </c>
      <c r="D60" s="148" t="str">
        <f>IFERROR(__xludf.DUMMYFUNCTION("""COMPUTED_VALUE"""),"Having Career Conversations with Your Team")</f>
        <v>Having Career Conversations with Your Team</v>
      </c>
      <c r="E60" s="147" t="str">
        <f>IFERROR(__xludf.DUMMYFUNCTION("""COMPUTED_VALUE"""),"Manager")</f>
        <v>Manager</v>
      </c>
      <c r="F60" s="141" t="str">
        <f>IFERROR(__xludf.DUMMYFUNCTION("""COMPUTED_VALUE"""),"Intermediate")</f>
        <v>Intermediate</v>
      </c>
      <c r="G60" s="143">
        <f>IFERROR(__xludf.DUMMYFUNCTION("""COMPUTED_VALUE"""),0.04111111111111111)</f>
        <v>0.04111111111</v>
      </c>
      <c r="H60" s="151"/>
      <c r="I60" s="140"/>
      <c r="J60" s="140"/>
      <c r="K60" s="140"/>
      <c r="L60" s="147">
        <f>IFERROR(__xludf.DUMMYFUNCTION("""COMPUTED_VALUE"""),2426609.0)</f>
        <v>2426609</v>
      </c>
      <c r="M60" s="148" t="str">
        <f>IFERROR(__xludf.DUMMYFUNCTION("""COMPUTED_VALUE"""),"The Art of Leadership (getAbstract Summary)")</f>
        <v>The Art of Leadership (getAbstract Summary)</v>
      </c>
      <c r="N60" s="147" t="str">
        <f>IFERROR(__xludf.DUMMYFUNCTION("""COMPUTED_VALUE"""),"General")</f>
        <v>General</v>
      </c>
      <c r="O60" s="141" t="str">
        <f>IFERROR(__xludf.DUMMYFUNCTION("""COMPUTED_VALUE"""),"Beginner")</f>
        <v>Beginner</v>
      </c>
      <c r="P60" s="143">
        <f>IFERROR(__xludf.DUMMYFUNCTION("""COMPUTED_VALUE"""),0.009652777777777777)</f>
        <v>0.009652777778</v>
      </c>
      <c r="Q60" s="151"/>
      <c r="R60" s="140"/>
      <c r="S60" s="140"/>
    </row>
    <row r="61" ht="33.75" customHeight="1">
      <c r="A61" s="140"/>
      <c r="B61" s="140"/>
      <c r="C61" s="147">
        <f>IFERROR(__xludf.DUMMYFUNCTION("""COMPUTED_VALUE"""),2893004.0)</f>
        <v>2893004</v>
      </c>
      <c r="D61" s="148" t="str">
        <f>IFERROR(__xludf.DUMMYFUNCTION("""COMPUTED_VALUE"""),"Compassionate Leadership")</f>
        <v>Compassionate Leadership</v>
      </c>
      <c r="E61" s="147" t="str">
        <f>IFERROR(__xludf.DUMMYFUNCTION("""COMPUTED_VALUE"""),"Manager")</f>
        <v>Manager</v>
      </c>
      <c r="F61" s="141" t="str">
        <f>IFERROR(__xludf.DUMMYFUNCTION("""COMPUTED_VALUE"""),"Intermediate")</f>
        <v>Intermediate</v>
      </c>
      <c r="G61" s="143">
        <f>IFERROR(__xludf.DUMMYFUNCTION("""COMPUTED_VALUE"""),0.03711805555555556)</f>
        <v>0.03711805556</v>
      </c>
      <c r="H61" s="151"/>
      <c r="I61" s="140"/>
      <c r="J61" s="140"/>
      <c r="K61" s="140"/>
      <c r="L61" s="147">
        <f>IFERROR(__xludf.DUMMYFUNCTION("""COMPUTED_VALUE"""),2888118.0)</f>
        <v>2888118</v>
      </c>
      <c r="M61" s="148" t="str">
        <f>IFERROR(__xludf.DUMMYFUNCTION("""COMPUTED_VALUE"""),"How to Stop Wasting Time in Meetings")</f>
        <v>How to Stop Wasting Time in Meetings</v>
      </c>
      <c r="N61" s="147" t="str">
        <f>IFERROR(__xludf.DUMMYFUNCTION("""COMPUTED_VALUE"""),"General")</f>
        <v>General</v>
      </c>
      <c r="O61" s="141" t="str">
        <f>IFERROR(__xludf.DUMMYFUNCTION("""COMPUTED_VALUE"""),"Beginner")</f>
        <v>Beginner</v>
      </c>
      <c r="P61" s="143">
        <f>IFERROR(__xludf.DUMMYFUNCTION("""COMPUTED_VALUE"""),0.023240740740740742)</f>
        <v>0.02324074074</v>
      </c>
      <c r="Q61" s="151"/>
      <c r="R61" s="140"/>
      <c r="S61" s="140"/>
    </row>
    <row r="62" ht="33.75" customHeight="1">
      <c r="A62" s="140"/>
      <c r="B62" s="140"/>
      <c r="C62" s="147">
        <f>IFERROR(__xludf.DUMMYFUNCTION("""COMPUTED_VALUE"""),2888004.0)</f>
        <v>2888004</v>
      </c>
      <c r="D62" s="148" t="str">
        <f>IFERROR(__xludf.DUMMYFUNCTION("""COMPUTED_VALUE"""),"Creative Thinking Strategies for Leaders")</f>
        <v>Creative Thinking Strategies for Leaders</v>
      </c>
      <c r="E62" s="147" t="str">
        <f>IFERROR(__xludf.DUMMYFUNCTION("""COMPUTED_VALUE"""),"Manager")</f>
        <v>Manager</v>
      </c>
      <c r="F62" s="141" t="str">
        <f>IFERROR(__xludf.DUMMYFUNCTION("""COMPUTED_VALUE"""),"Intermediate")</f>
        <v>Intermediate</v>
      </c>
      <c r="G62" s="143">
        <f>IFERROR(__xludf.DUMMYFUNCTION("""COMPUTED_VALUE"""),0.055740740740740743)</f>
        <v>0.05574074074</v>
      </c>
      <c r="H62" s="151"/>
      <c r="I62" s="140"/>
      <c r="J62" s="140"/>
      <c r="K62" s="140"/>
      <c r="L62" s="147">
        <f>IFERROR(__xludf.DUMMYFUNCTION("""COMPUTED_VALUE"""),2822414.0)</f>
        <v>2822414</v>
      </c>
      <c r="M62" s="148" t="str">
        <f>IFERROR(__xludf.DUMMYFUNCTION("""COMPUTED_VALUE"""),"Just Ask: Todd Dewett on Management and Leadership")</f>
        <v>Just Ask: Todd Dewett on Management and Leadership</v>
      </c>
      <c r="N62" s="147" t="str">
        <f>IFERROR(__xludf.DUMMYFUNCTION("""COMPUTED_VALUE"""),"General")</f>
        <v>General</v>
      </c>
      <c r="O62" s="141" t="str">
        <f>IFERROR(__xludf.DUMMYFUNCTION("""COMPUTED_VALUE"""),"Beginner + Intermediate")</f>
        <v>Beginner + Intermediate</v>
      </c>
      <c r="P62" s="143">
        <f>IFERROR(__xludf.DUMMYFUNCTION("""COMPUTED_VALUE"""),0.052395833333333336)</f>
        <v>0.05239583333</v>
      </c>
      <c r="Q62" s="151"/>
      <c r="R62" s="140"/>
      <c r="S62" s="140"/>
    </row>
    <row r="63" ht="33.75" customHeight="1">
      <c r="A63" s="140"/>
      <c r="B63" s="140"/>
      <c r="C63" s="147">
        <f>IFERROR(__xludf.DUMMYFUNCTION("""COMPUTED_VALUE"""),2822677.0)</f>
        <v>2822677</v>
      </c>
      <c r="D63" s="148" t="str">
        <f>IFERROR(__xludf.DUMMYFUNCTION("""COMPUTED_VALUE"""),"Leading and Motivating People with Different Personalities")</f>
        <v>Leading and Motivating People with Different Personalities</v>
      </c>
      <c r="E63" s="147" t="str">
        <f>IFERROR(__xludf.DUMMYFUNCTION("""COMPUTED_VALUE"""),"Manager")</f>
        <v>Manager</v>
      </c>
      <c r="F63" s="141" t="str">
        <f>IFERROR(__xludf.DUMMYFUNCTION("""COMPUTED_VALUE"""),"Intermediate")</f>
        <v>Intermediate</v>
      </c>
      <c r="G63" s="143">
        <f>IFERROR(__xludf.DUMMYFUNCTION("""COMPUTED_VALUE"""),0.027094907407407408)</f>
        <v>0.02709490741</v>
      </c>
      <c r="H63" s="151"/>
      <c r="I63" s="140"/>
      <c r="J63" s="140"/>
      <c r="K63" s="140"/>
      <c r="L63" s="147">
        <f>IFERROR(__xludf.DUMMYFUNCTION("""COMPUTED_VALUE"""),2825489.0)</f>
        <v>2825489</v>
      </c>
      <c r="M63" s="148" t="str">
        <f>IFERROR(__xludf.DUMMYFUNCTION("""COMPUTED_VALUE"""),"Recognizing and Rewarding Your Workers")</f>
        <v>Recognizing and Rewarding Your Workers</v>
      </c>
      <c r="N63" s="147" t="str">
        <f>IFERROR(__xludf.DUMMYFUNCTION("""COMPUTED_VALUE"""),"General")</f>
        <v>General</v>
      </c>
      <c r="O63" s="141" t="str">
        <f>IFERROR(__xludf.DUMMYFUNCTION("""COMPUTED_VALUE"""),"Beginner + Intermediate")</f>
        <v>Beginner + Intermediate</v>
      </c>
      <c r="P63" s="143">
        <f>IFERROR(__xludf.DUMMYFUNCTION("""COMPUTED_VALUE"""),0.02582175925925926)</f>
        <v>0.02582175926</v>
      </c>
      <c r="Q63" s="151"/>
      <c r="R63" s="140"/>
      <c r="S63" s="140"/>
    </row>
    <row r="64" ht="33.75" customHeight="1">
      <c r="A64" s="140"/>
      <c r="B64" s="140"/>
      <c r="C64" s="147">
        <f>IFERROR(__xludf.DUMMYFUNCTION("""COMPUTED_VALUE"""),2421749.0)</f>
        <v>2421749</v>
      </c>
      <c r="D64" s="148" t="str">
        <f>IFERROR(__xludf.DUMMYFUNCTION("""COMPUTED_VALUE"""),"Leading in the Moment")</f>
        <v>Leading in the Moment</v>
      </c>
      <c r="E64" s="147" t="str">
        <f>IFERROR(__xludf.DUMMYFUNCTION("""COMPUTED_VALUE"""),"Manager")</f>
        <v>Manager</v>
      </c>
      <c r="F64" s="141" t="str">
        <f>IFERROR(__xludf.DUMMYFUNCTION("""COMPUTED_VALUE"""),"Intermediate")</f>
        <v>Intermediate</v>
      </c>
      <c r="G64" s="143">
        <f>IFERROR(__xludf.DUMMYFUNCTION("""COMPUTED_VALUE"""),0.03246527777777778)</f>
        <v>0.03246527778</v>
      </c>
      <c r="H64" s="151"/>
      <c r="I64" s="140"/>
      <c r="J64" s="140"/>
      <c r="K64" s="140"/>
      <c r="L64" s="147">
        <f>IFERROR(__xludf.DUMMYFUNCTION("""COMPUTED_VALUE"""),808667.0)</f>
        <v>808667</v>
      </c>
      <c r="M64" s="148" t="str">
        <f>IFERROR(__xludf.DUMMYFUNCTION("""COMPUTED_VALUE"""),"Building a Coaching Culture: Improving Performance Through Timely Feedback")</f>
        <v>Building a Coaching Culture: Improving Performance Through Timely Feedback</v>
      </c>
      <c r="N64" s="147" t="str">
        <f>IFERROR(__xludf.DUMMYFUNCTION("""COMPUTED_VALUE"""),"General")</f>
        <v>General</v>
      </c>
      <c r="O64" s="141" t="str">
        <f>IFERROR(__xludf.DUMMYFUNCTION("""COMPUTED_VALUE"""),"Intermediate")</f>
        <v>Intermediate</v>
      </c>
      <c r="P64" s="143">
        <f>IFERROR(__xludf.DUMMYFUNCTION("""COMPUTED_VALUE"""),0.04760416666666667)</f>
        <v>0.04760416667</v>
      </c>
      <c r="Q64" s="151"/>
      <c r="R64" s="140"/>
      <c r="S64" s="140"/>
    </row>
    <row r="65" ht="33.75" customHeight="1">
      <c r="A65" s="140"/>
      <c r="B65" s="140"/>
      <c r="C65" s="147">
        <f>IFERROR(__xludf.DUMMYFUNCTION("""COMPUTED_VALUE"""),2427563.0)</f>
        <v>2427563</v>
      </c>
      <c r="D65" s="148" t="str">
        <f>IFERROR(__xludf.DUMMYFUNCTION("""COMPUTED_VALUE"""),"Coaching Virtually")</f>
        <v>Coaching Virtually</v>
      </c>
      <c r="E65" s="147" t="str">
        <f>IFERROR(__xludf.DUMMYFUNCTION("""COMPUTED_VALUE"""),"Manager")</f>
        <v>Manager</v>
      </c>
      <c r="F65" s="141" t="str">
        <f>IFERROR(__xludf.DUMMYFUNCTION("""COMPUTED_VALUE"""),"Intermediate")</f>
        <v>Intermediate</v>
      </c>
      <c r="G65" s="143">
        <f>IFERROR(__xludf.DUMMYFUNCTION("""COMPUTED_VALUE"""),0.02087962962962963)</f>
        <v>0.02087962963</v>
      </c>
      <c r="H65" s="151"/>
      <c r="I65" s="140"/>
      <c r="J65" s="140"/>
      <c r="K65" s="140"/>
      <c r="L65" s="147">
        <f>IFERROR(__xludf.DUMMYFUNCTION("""COMPUTED_VALUE"""),2824374.0)</f>
        <v>2824374</v>
      </c>
      <c r="M65" s="148" t="str">
        <f>IFERROR(__xludf.DUMMYFUNCTION("""COMPUTED_VALUE"""),"How Leaders Can Motivate Others by Creating Meaning")</f>
        <v>How Leaders Can Motivate Others by Creating Meaning</v>
      </c>
      <c r="N65" s="147" t="str">
        <f>IFERROR(__xludf.DUMMYFUNCTION("""COMPUTED_VALUE"""),"General")</f>
        <v>General</v>
      </c>
      <c r="O65" s="141" t="str">
        <f>IFERROR(__xludf.DUMMYFUNCTION("""COMPUTED_VALUE"""),"Intermediate")</f>
        <v>Intermediate</v>
      </c>
      <c r="P65" s="143">
        <f>IFERROR(__xludf.DUMMYFUNCTION("""COMPUTED_VALUE"""),0.024583333333333332)</f>
        <v>0.02458333333</v>
      </c>
      <c r="Q65" s="151"/>
      <c r="R65" s="140"/>
      <c r="S65" s="140"/>
    </row>
    <row r="66" ht="33.75" customHeight="1">
      <c r="A66" s="140"/>
      <c r="B66" s="140"/>
      <c r="C66" s="147">
        <f>IFERROR(__xludf.DUMMYFUNCTION("""COMPUTED_VALUE"""),2809355.0)</f>
        <v>2809355</v>
      </c>
      <c r="D66" s="148" t="str">
        <f>IFERROR(__xludf.DUMMYFUNCTION("""COMPUTED_VALUE"""),"Body Language for Leaders")</f>
        <v>Body Language for Leaders</v>
      </c>
      <c r="E66" s="147" t="str">
        <f>IFERROR(__xludf.DUMMYFUNCTION("""COMPUTED_VALUE"""),"Manager")</f>
        <v>Manager</v>
      </c>
      <c r="F66" s="141" t="str">
        <f>IFERROR(__xludf.DUMMYFUNCTION("""COMPUTED_VALUE"""),"General")</f>
        <v>General</v>
      </c>
      <c r="G66" s="143">
        <f>IFERROR(__xludf.DUMMYFUNCTION("""COMPUTED_VALUE"""),0.02738425925925926)</f>
        <v>0.02738425926</v>
      </c>
      <c r="H66" s="151"/>
      <c r="I66" s="140"/>
      <c r="J66" s="140"/>
      <c r="K66" s="140"/>
      <c r="L66" s="147">
        <f>IFERROR(__xludf.DUMMYFUNCTION("""COMPUTED_VALUE"""),2837260.0)</f>
        <v>2837260</v>
      </c>
      <c r="M66" s="148" t="str">
        <f>IFERROR(__xludf.DUMMYFUNCTION("""COMPUTED_VALUE"""),"The Definitive Drucker (getAbstract Summary)")</f>
        <v>The Definitive Drucker (getAbstract Summary)</v>
      </c>
      <c r="N66" s="147" t="str">
        <f>IFERROR(__xludf.DUMMYFUNCTION("""COMPUTED_VALUE"""),"General")</f>
        <v>General</v>
      </c>
      <c r="O66" s="141" t="str">
        <f>IFERROR(__xludf.DUMMYFUNCTION("""COMPUTED_VALUE"""),"Intermediate")</f>
        <v>Intermediate</v>
      </c>
      <c r="P66" s="143">
        <f>IFERROR(__xludf.DUMMYFUNCTION("""COMPUTED_VALUE"""),0.006631944444444445)</f>
        <v>0.006631944444</v>
      </c>
      <c r="Q66" s="151"/>
      <c r="R66" s="140"/>
      <c r="S66" s="140"/>
    </row>
    <row r="67" ht="33.75" customHeight="1">
      <c r="A67" s="140"/>
      <c r="B67" s="140"/>
      <c r="C67" s="147">
        <f>IFERROR(__xludf.DUMMYFUNCTION("""COMPUTED_VALUE"""),2243043.0)</f>
        <v>2243043</v>
      </c>
      <c r="D67" s="148" t="str">
        <f>IFERROR(__xludf.DUMMYFUNCTION("""COMPUTED_VALUE"""),"The Secret: What Great Leaders Know and Do (getAbstract Summary)")</f>
        <v>The Secret: What Great Leaders Know and Do (getAbstract Summary)</v>
      </c>
      <c r="E67" s="147" t="str">
        <f>IFERROR(__xludf.DUMMYFUNCTION("""COMPUTED_VALUE"""),"Manager")</f>
        <v>Manager</v>
      </c>
      <c r="F67" s="141" t="str">
        <f>IFERROR(__xludf.DUMMYFUNCTION("""COMPUTED_VALUE"""),"General")</f>
        <v>General</v>
      </c>
      <c r="G67" s="143">
        <f>IFERROR(__xludf.DUMMYFUNCTION("""COMPUTED_VALUE"""),0.00525462962962963)</f>
        <v>0.00525462963</v>
      </c>
      <c r="H67" s="151"/>
      <c r="I67" s="140"/>
      <c r="J67" s="140"/>
      <c r="K67" s="140"/>
      <c r="L67" s="147">
        <f>IFERROR(__xludf.DUMMYFUNCTION("""COMPUTED_VALUE"""),2972406.0)</f>
        <v>2972406</v>
      </c>
      <c r="M67" s="148" t="str">
        <f>IFERROR(__xludf.DUMMYFUNCTION("""COMPUTED_VALUE"""),"Creating Winning Teams")</f>
        <v>Creating Winning Teams</v>
      </c>
      <c r="N67" s="147" t="str">
        <f>IFERROR(__xludf.DUMMYFUNCTION("""COMPUTED_VALUE"""),"General")</f>
        <v>General</v>
      </c>
      <c r="O67" s="141" t="str">
        <f>IFERROR(__xludf.DUMMYFUNCTION("""COMPUTED_VALUE"""),"Intermediate")</f>
        <v>Intermediate</v>
      </c>
      <c r="P67" s="143">
        <f>IFERROR(__xludf.DUMMYFUNCTION("""COMPUTED_VALUE"""),0.02917824074074074)</f>
        <v>0.02917824074</v>
      </c>
      <c r="Q67" s="151"/>
      <c r="R67" s="140"/>
      <c r="S67" s="140"/>
    </row>
    <row r="68" ht="33.75" customHeight="1">
      <c r="A68" s="140"/>
      <c r="B68" s="140"/>
      <c r="C68" s="147">
        <f>IFERROR(__xludf.DUMMYFUNCTION("""COMPUTED_VALUE"""),2832011.0)</f>
        <v>2832011</v>
      </c>
      <c r="D68" s="148" t="str">
        <f>IFERROR(__xludf.DUMMYFUNCTION("""COMPUTED_VALUE"""),"Establishing Work from Home Policies")</f>
        <v>Establishing Work from Home Policies</v>
      </c>
      <c r="E68" s="147" t="str">
        <f>IFERROR(__xludf.DUMMYFUNCTION("""COMPUTED_VALUE"""),"Manager")</f>
        <v>Manager</v>
      </c>
      <c r="F68" s="141" t="str">
        <f>IFERROR(__xludf.DUMMYFUNCTION("""COMPUTED_VALUE"""),"General")</f>
        <v>General</v>
      </c>
      <c r="G68" s="143">
        <f>IFERROR(__xludf.DUMMYFUNCTION("""COMPUTED_VALUE"""),0.019479166666666665)</f>
        <v>0.01947916667</v>
      </c>
      <c r="H68" s="151"/>
      <c r="I68" s="140"/>
      <c r="J68" s="140"/>
      <c r="K68" s="140"/>
      <c r="L68" s="147">
        <f>IFERROR(__xludf.DUMMYFUNCTION("""COMPUTED_VALUE"""),2974330.0)</f>
        <v>2974330</v>
      </c>
      <c r="M68" s="148" t="str">
        <f>IFERROR(__xludf.DUMMYFUNCTION("""COMPUTED_VALUE"""),"Creating an Adaptable Team")</f>
        <v>Creating an Adaptable Team</v>
      </c>
      <c r="N68" s="147" t="str">
        <f>IFERROR(__xludf.DUMMYFUNCTION("""COMPUTED_VALUE"""),"General")</f>
        <v>General</v>
      </c>
      <c r="O68" s="141" t="str">
        <f>IFERROR(__xludf.DUMMYFUNCTION("""COMPUTED_VALUE"""),"Intermediate")</f>
        <v>Intermediate</v>
      </c>
      <c r="P68" s="143">
        <f>IFERROR(__xludf.DUMMYFUNCTION("""COMPUTED_VALUE"""),0.028136574074074074)</f>
        <v>0.02813657407</v>
      </c>
      <c r="Q68" s="151"/>
      <c r="R68" s="140"/>
      <c r="S68" s="140"/>
    </row>
    <row r="69" ht="33.75" customHeight="1">
      <c r="A69" s="140"/>
      <c r="B69" s="140"/>
      <c r="C69" s="147">
        <f>IFERROR(__xludf.DUMMYFUNCTION("""COMPUTED_VALUE"""),2820012.0)</f>
        <v>2820012</v>
      </c>
      <c r="D69" s="148" t="str">
        <f>IFERROR(__xludf.DUMMYFUNCTION("""COMPUTED_VALUE"""),"Conducting Motivational 1-on-1 Reviews")</f>
        <v>Conducting Motivational 1-on-1 Reviews</v>
      </c>
      <c r="E69" s="147" t="str">
        <f>IFERROR(__xludf.DUMMYFUNCTION("""COMPUTED_VALUE"""),"Manager")</f>
        <v>Manager</v>
      </c>
      <c r="F69" s="141" t="str">
        <f>IFERROR(__xludf.DUMMYFUNCTION("""COMPUTED_VALUE"""),"General")</f>
        <v>General</v>
      </c>
      <c r="G69" s="143">
        <f>IFERROR(__xludf.DUMMYFUNCTION("""COMPUTED_VALUE"""),0.016666666666666666)</f>
        <v>0.01666666667</v>
      </c>
      <c r="H69" s="151"/>
      <c r="I69" s="140"/>
      <c r="J69" s="140"/>
      <c r="K69" s="140"/>
      <c r="L69" s="147">
        <f>IFERROR(__xludf.DUMMYFUNCTION("""COMPUTED_VALUE"""),2819209.0)</f>
        <v>2819209</v>
      </c>
      <c r="M69" s="148" t="str">
        <f>IFERROR(__xludf.DUMMYFUNCTION("""COMPUTED_VALUE"""),"The Superbosses Playbook")</f>
        <v>The Superbosses Playbook</v>
      </c>
      <c r="N69" s="147" t="str">
        <f>IFERROR(__xludf.DUMMYFUNCTION("""COMPUTED_VALUE"""),"General")</f>
        <v>General</v>
      </c>
      <c r="O69" s="141" t="str">
        <f>IFERROR(__xludf.DUMMYFUNCTION("""COMPUTED_VALUE"""),"Intermediate")</f>
        <v>Intermediate</v>
      </c>
      <c r="P69" s="143">
        <f>IFERROR(__xludf.DUMMYFUNCTION("""COMPUTED_VALUE"""),0.03512731481481481)</f>
        <v>0.03512731481</v>
      </c>
      <c r="Q69" s="151"/>
      <c r="R69" s="140"/>
      <c r="S69" s="140"/>
    </row>
    <row r="70" ht="33.75" customHeight="1">
      <c r="A70" s="140"/>
      <c r="B70" s="140"/>
      <c r="C70" s="147">
        <f>IFERROR(__xludf.DUMMYFUNCTION("""COMPUTED_VALUE"""),2834033.0)</f>
        <v>2834033</v>
      </c>
      <c r="D70" s="148" t="str">
        <f>IFERROR(__xludf.DUMMYFUNCTION("""COMPUTED_VALUE"""),"Jeff Weiner on Leading like a CEO")</f>
        <v>Jeff Weiner on Leading like a CEO</v>
      </c>
      <c r="E70" s="147" t="str">
        <f>IFERROR(__xludf.DUMMYFUNCTION("""COMPUTED_VALUE"""),"Manager")</f>
        <v>Manager</v>
      </c>
      <c r="F70" s="141" t="str">
        <f>IFERROR(__xludf.DUMMYFUNCTION("""COMPUTED_VALUE"""),"General")</f>
        <v>General</v>
      </c>
      <c r="G70" s="143">
        <f>IFERROR(__xludf.DUMMYFUNCTION("""COMPUTED_VALUE"""),0.1315162037037037)</f>
        <v>0.1315162037</v>
      </c>
      <c r="H70" s="151"/>
      <c r="I70" s="140"/>
      <c r="J70" s="140"/>
      <c r="K70" s="140"/>
      <c r="L70" s="147">
        <f>IFERROR(__xludf.DUMMYFUNCTION("""COMPUTED_VALUE"""),2825695.0)</f>
        <v>2825695</v>
      </c>
      <c r="M70" s="148" t="str">
        <f>IFERROR(__xludf.DUMMYFUNCTION("""COMPUTED_VALUE"""),"Creating a Communications Strategy")</f>
        <v>Creating a Communications Strategy</v>
      </c>
      <c r="N70" s="147" t="str">
        <f>IFERROR(__xludf.DUMMYFUNCTION("""COMPUTED_VALUE"""),"General")</f>
        <v>General</v>
      </c>
      <c r="O70" s="141" t="str">
        <f>IFERROR(__xludf.DUMMYFUNCTION("""COMPUTED_VALUE"""),"Intermediate")</f>
        <v>Intermediate</v>
      </c>
      <c r="P70" s="143">
        <f>IFERROR(__xludf.DUMMYFUNCTION("""COMPUTED_VALUE"""),0.023912037037037037)</f>
        <v>0.02391203704</v>
      </c>
      <c r="Q70" s="151"/>
      <c r="R70" s="140"/>
      <c r="S70" s="140"/>
    </row>
    <row r="71" ht="33.75" customHeight="1">
      <c r="A71" s="140"/>
      <c r="B71" s="140"/>
      <c r="C71" s="147">
        <f>IFERROR(__xludf.DUMMYFUNCTION("""COMPUTED_VALUE"""),2877028.0)</f>
        <v>2877028</v>
      </c>
      <c r="D71" s="148" t="str">
        <f>IFERROR(__xludf.DUMMYFUNCTION("""COMPUTED_VALUE"""),"Becoming a Manager Your Team Loves")</f>
        <v>Becoming a Manager Your Team Loves</v>
      </c>
      <c r="E71" s="147" t="str">
        <f>IFERROR(__xludf.DUMMYFUNCTION("""COMPUTED_VALUE"""),"Manager")</f>
        <v>Manager</v>
      </c>
      <c r="F71" s="141" t="str">
        <f>IFERROR(__xludf.DUMMYFUNCTION("""COMPUTED_VALUE"""),"General")</f>
        <v>General</v>
      </c>
      <c r="G71" s="143">
        <f>IFERROR(__xludf.DUMMYFUNCTION("""COMPUTED_VALUE"""),0.052708333333333336)</f>
        <v>0.05270833333</v>
      </c>
      <c r="H71" s="151"/>
      <c r="I71" s="140"/>
      <c r="J71" s="140"/>
      <c r="K71" s="140"/>
      <c r="L71" s="147">
        <f>IFERROR(__xludf.DUMMYFUNCTION("""COMPUTED_VALUE"""),2823247.0)</f>
        <v>2823247</v>
      </c>
      <c r="M71" s="148" t="str">
        <f>IFERROR(__xludf.DUMMYFUNCTION("""COMPUTED_VALUE"""),"Foundations of Performance Management")</f>
        <v>Foundations of Performance Management</v>
      </c>
      <c r="N71" s="147" t="str">
        <f>IFERROR(__xludf.DUMMYFUNCTION("""COMPUTED_VALUE"""),"General")</f>
        <v>General</v>
      </c>
      <c r="O71" s="141" t="str">
        <f>IFERROR(__xludf.DUMMYFUNCTION("""COMPUTED_VALUE"""),"Advanced")</f>
        <v>Advanced</v>
      </c>
      <c r="P71" s="143">
        <f>IFERROR(__xludf.DUMMYFUNCTION("""COMPUTED_VALUE"""),0.032581018518518516)</f>
        <v>0.03258101852</v>
      </c>
      <c r="Q71" s="151"/>
      <c r="R71" s="140"/>
      <c r="S71" s="140"/>
    </row>
    <row r="72" ht="33.75" customHeight="1">
      <c r="A72" s="140"/>
      <c r="B72" s="140"/>
      <c r="C72" s="147">
        <f>IFERROR(__xludf.DUMMYFUNCTION("""COMPUTED_VALUE"""),2242044.0)</f>
        <v>2242044</v>
      </c>
      <c r="D72" s="148" t="str">
        <f>IFERROR(__xludf.DUMMYFUNCTION("""COMPUTED_VALUE"""),"The Leader’s Guide to Mindfulness (getAbstract Summary)")</f>
        <v>The Leader’s Guide to Mindfulness (getAbstract Summary)</v>
      </c>
      <c r="E72" s="147" t="str">
        <f>IFERROR(__xludf.DUMMYFUNCTION("""COMPUTED_VALUE"""),"Manager")</f>
        <v>Manager</v>
      </c>
      <c r="F72" s="141" t="str">
        <f>IFERROR(__xludf.DUMMYFUNCTION("""COMPUTED_VALUE"""),"General")</f>
        <v>General</v>
      </c>
      <c r="G72" s="143">
        <f>IFERROR(__xludf.DUMMYFUNCTION("""COMPUTED_VALUE"""),0.009097222222222222)</f>
        <v>0.009097222222</v>
      </c>
      <c r="H72" s="151"/>
      <c r="I72" s="140"/>
      <c r="J72" s="140"/>
      <c r="K72" s="140"/>
      <c r="L72" s="147">
        <f>IFERROR(__xludf.DUMMYFUNCTION("""COMPUTED_VALUE"""),2837265.0)</f>
        <v>2837265</v>
      </c>
      <c r="M72" s="148" t="str">
        <f>IFERROR(__xludf.DUMMYFUNCTION("""COMPUTED_VALUE"""),"Sales Management. Simplified. (Blinkist Summary)")</f>
        <v>Sales Management. Simplified. (Blinkist Summary)</v>
      </c>
      <c r="N72" s="147" t="str">
        <f>IFERROR(__xludf.DUMMYFUNCTION("""COMPUTED_VALUE"""),"General")</f>
        <v>General</v>
      </c>
      <c r="O72" s="141" t="str">
        <f>IFERROR(__xludf.DUMMYFUNCTION("""COMPUTED_VALUE"""),"General")</f>
        <v>General</v>
      </c>
      <c r="P72" s="143">
        <f>IFERROR(__xludf.DUMMYFUNCTION("""COMPUTED_VALUE"""),0.013321759259259259)</f>
        <v>0.01332175926</v>
      </c>
      <c r="Q72" s="151"/>
      <c r="R72" s="140"/>
      <c r="S72" s="140"/>
    </row>
    <row r="73" ht="33.75" customHeight="1">
      <c r="A73" s="140"/>
      <c r="B73" s="140"/>
      <c r="C73" s="147">
        <f>IFERROR(__xludf.DUMMYFUNCTION("""COMPUTED_VALUE"""),2892082.0)</f>
        <v>2892082</v>
      </c>
      <c r="D73" s="148" t="str">
        <f>IFERROR(__xludf.DUMMYFUNCTION("""COMPUTED_VALUE"""),"Supporting Your Team as Offices Reopen")</f>
        <v>Supporting Your Team as Offices Reopen</v>
      </c>
      <c r="E73" s="147" t="str">
        <f>IFERROR(__xludf.DUMMYFUNCTION("""COMPUTED_VALUE"""),"Manager")</f>
        <v>Manager</v>
      </c>
      <c r="F73" s="141" t="str">
        <f>IFERROR(__xludf.DUMMYFUNCTION("""COMPUTED_VALUE"""),"General")</f>
        <v>General</v>
      </c>
      <c r="G73" s="143">
        <f>IFERROR(__xludf.DUMMYFUNCTION("""COMPUTED_VALUE"""),0.024537037037037038)</f>
        <v>0.02453703704</v>
      </c>
      <c r="H73" s="151"/>
      <c r="I73" s="140"/>
      <c r="J73" s="140"/>
      <c r="K73" s="140"/>
      <c r="L73" s="147">
        <f>IFERROR(__xludf.DUMMYFUNCTION("""COMPUTED_VALUE"""),2884198.0)</f>
        <v>2884198</v>
      </c>
      <c r="M73" s="148" t="str">
        <f>IFERROR(__xludf.DUMMYFUNCTION("""COMPUTED_VALUE"""),"Backgrounder: Leadership Conversations with Different Personalities")</f>
        <v>Backgrounder: Leadership Conversations with Different Personalities</v>
      </c>
      <c r="N73" s="147" t="str">
        <f>IFERROR(__xludf.DUMMYFUNCTION("""COMPUTED_VALUE"""),"General")</f>
        <v>General</v>
      </c>
      <c r="O73" s="141" t="str">
        <f>IFERROR(__xludf.DUMMYFUNCTION("""COMPUTED_VALUE"""),"General")</f>
        <v>General</v>
      </c>
      <c r="P73" s="143">
        <f>IFERROR(__xludf.DUMMYFUNCTION("""COMPUTED_VALUE"""),0.02273148148148148)</f>
        <v>0.02273148148</v>
      </c>
      <c r="Q73" s="151"/>
      <c r="R73" s="140"/>
      <c r="S73" s="140"/>
    </row>
    <row r="74" ht="33.75" customHeight="1">
      <c r="A74" s="140"/>
      <c r="B74" s="140"/>
      <c r="C74" s="147">
        <f>IFERROR(__xludf.DUMMYFUNCTION("""COMPUTED_VALUE"""),3007801.0)</f>
        <v>3007801</v>
      </c>
      <c r="D74" s="148" t="str">
        <f>IFERROR(__xludf.DUMMYFUNCTION("""COMPUTED_VALUE"""),"Leading When You're Not in Charge")</f>
        <v>Leading When You're Not in Charge</v>
      </c>
      <c r="E74" s="147" t="str">
        <f>IFERROR(__xludf.DUMMYFUNCTION("""COMPUTED_VALUE"""),"General")</f>
        <v>General</v>
      </c>
      <c r="F74" s="141" t="str">
        <f>IFERROR(__xludf.DUMMYFUNCTION("""COMPUTED_VALUE"""),"Beginner")</f>
        <v>Beginner</v>
      </c>
      <c r="G74" s="143">
        <f>IFERROR(__xludf.DUMMYFUNCTION("""COMPUTED_VALUE"""),0.02101851851851852)</f>
        <v>0.02101851852</v>
      </c>
      <c r="H74" s="151"/>
      <c r="I74" s="140"/>
      <c r="J74" s="140"/>
      <c r="K74" s="140"/>
      <c r="L74" s="147"/>
      <c r="M74" s="153"/>
      <c r="N74" s="147"/>
      <c r="O74" s="141"/>
      <c r="P74" s="141"/>
      <c r="Q74" s="151"/>
      <c r="R74" s="140"/>
      <c r="S74" s="140"/>
    </row>
    <row r="75" ht="33.75" customHeight="1">
      <c r="A75" s="140"/>
      <c r="B75" s="140"/>
      <c r="C75" s="147">
        <f>IFERROR(__xludf.DUMMYFUNCTION("""COMPUTED_VALUE"""),2974329.0)</f>
        <v>2974329</v>
      </c>
      <c r="D75" s="148" t="str">
        <f>IFERROR(__xludf.DUMMYFUNCTION("""COMPUTED_VALUE"""),"Inspirational Leadership Skills: Practical Motivational Leadership")</f>
        <v>Inspirational Leadership Skills: Practical Motivational Leadership</v>
      </c>
      <c r="E75" s="147" t="str">
        <f>IFERROR(__xludf.DUMMYFUNCTION("""COMPUTED_VALUE"""),"General")</f>
        <v>General</v>
      </c>
      <c r="F75" s="141" t="str">
        <f>IFERROR(__xludf.DUMMYFUNCTION("""COMPUTED_VALUE"""),"Beginner")</f>
        <v>Beginner</v>
      </c>
      <c r="G75" s="143">
        <f>IFERROR(__xludf.DUMMYFUNCTION("""COMPUTED_VALUE"""),0.12664351851851852)</f>
        <v>0.1266435185</v>
      </c>
      <c r="H75" s="151"/>
      <c r="I75" s="140"/>
      <c r="J75" s="140"/>
      <c r="K75" s="140"/>
      <c r="L75" s="147"/>
      <c r="M75" s="153"/>
      <c r="N75" s="147"/>
      <c r="O75" s="141"/>
      <c r="P75" s="141"/>
      <c r="Q75" s="151"/>
      <c r="R75" s="140"/>
      <c r="S75" s="140"/>
    </row>
    <row r="76" ht="33.75" customHeight="1">
      <c r="A76" s="140"/>
      <c r="B76" s="140"/>
      <c r="C76" s="147">
        <f>IFERROR(__xludf.DUMMYFUNCTION("""COMPUTED_VALUE"""),2805907.0)</f>
        <v>2805907</v>
      </c>
      <c r="D76" s="148" t="str">
        <f>IFERROR(__xludf.DUMMYFUNCTION("""COMPUTED_VALUE"""),"Women Transforming Tech: Finding Sponsors")</f>
        <v>Women Transforming Tech: Finding Sponsors</v>
      </c>
      <c r="E76" s="147" t="str">
        <f>IFERROR(__xludf.DUMMYFUNCTION("""COMPUTED_VALUE"""),"General")</f>
        <v>General</v>
      </c>
      <c r="F76" s="141" t="str">
        <f>IFERROR(__xludf.DUMMYFUNCTION("""COMPUTED_VALUE"""),"Beginner")</f>
        <v>Beginner</v>
      </c>
      <c r="G76" s="143">
        <f>IFERROR(__xludf.DUMMYFUNCTION("""COMPUTED_VALUE"""),0.00949074074074074)</f>
        <v>0.009490740741</v>
      </c>
      <c r="H76" s="151"/>
      <c r="I76" s="140"/>
      <c r="J76" s="140"/>
      <c r="K76" s="140"/>
      <c r="L76" s="147"/>
      <c r="M76" s="153"/>
      <c r="N76" s="147"/>
      <c r="O76" s="141"/>
      <c r="P76" s="141"/>
      <c r="Q76" s="151"/>
      <c r="R76" s="140"/>
      <c r="S76" s="140"/>
    </row>
    <row r="77" ht="33.75" customHeight="1">
      <c r="A77" s="140"/>
      <c r="B77" s="140"/>
      <c r="C77" s="147">
        <f>IFERROR(__xludf.DUMMYFUNCTION("""COMPUTED_VALUE"""),2807859.0)</f>
        <v>2807859</v>
      </c>
      <c r="D77" s="148" t="str">
        <f>IFERROR(__xludf.DUMMYFUNCTION("""COMPUTED_VALUE"""),"Women Transforming Tech: Voices from the Field")</f>
        <v>Women Transforming Tech: Voices from the Field</v>
      </c>
      <c r="E77" s="147" t="str">
        <f>IFERROR(__xludf.DUMMYFUNCTION("""COMPUTED_VALUE"""),"General")</f>
        <v>General</v>
      </c>
      <c r="F77" s="141" t="str">
        <f>IFERROR(__xludf.DUMMYFUNCTION("""COMPUTED_VALUE"""),"Beginner")</f>
        <v>Beginner</v>
      </c>
      <c r="G77" s="143">
        <f>IFERROR(__xludf.DUMMYFUNCTION("""COMPUTED_VALUE"""),0.01778935185185185)</f>
        <v>0.01778935185</v>
      </c>
      <c r="H77" s="151"/>
      <c r="I77" s="140"/>
      <c r="J77" s="140"/>
      <c r="K77" s="140"/>
      <c r="L77" s="147"/>
      <c r="M77" s="153"/>
      <c r="N77" s="147"/>
      <c r="O77" s="141"/>
      <c r="P77" s="141"/>
      <c r="Q77" s="151"/>
      <c r="R77" s="140"/>
      <c r="S77" s="140"/>
    </row>
    <row r="78" ht="33.75" customHeight="1">
      <c r="A78" s="140"/>
      <c r="B78" s="140"/>
      <c r="C78" s="147">
        <f>IFERROR(__xludf.DUMMYFUNCTION("""COMPUTED_VALUE"""),2297061.0)</f>
        <v>2297061</v>
      </c>
      <c r="D78" s="148" t="str">
        <f>IFERROR(__xludf.DUMMYFUNCTION("""COMPUTED_VALUE"""),"Become a Courageous Female Leader")</f>
        <v>Become a Courageous Female Leader</v>
      </c>
      <c r="E78" s="147" t="str">
        <f>IFERROR(__xludf.DUMMYFUNCTION("""COMPUTED_VALUE"""),"General")</f>
        <v>General</v>
      </c>
      <c r="F78" s="141" t="str">
        <f>IFERROR(__xludf.DUMMYFUNCTION("""COMPUTED_VALUE"""),"Beginner")</f>
        <v>Beginner</v>
      </c>
      <c r="G78" s="143">
        <f>IFERROR(__xludf.DUMMYFUNCTION("""COMPUTED_VALUE"""),0.03467592592592592)</f>
        <v>0.03467592593</v>
      </c>
      <c r="H78" s="151"/>
      <c r="I78" s="140"/>
      <c r="J78" s="140"/>
      <c r="K78" s="140"/>
      <c r="L78" s="147"/>
      <c r="M78" s="153"/>
      <c r="N78" s="147"/>
      <c r="O78" s="141"/>
      <c r="P78" s="141"/>
      <c r="Q78" s="151"/>
      <c r="R78" s="140"/>
      <c r="S78" s="140"/>
    </row>
    <row r="79" ht="33.75" customHeight="1">
      <c r="A79" s="140"/>
      <c r="B79" s="140"/>
      <c r="C79" s="147">
        <f>IFERROR(__xludf.DUMMYFUNCTION("""COMPUTED_VALUE"""),2974167.0)</f>
        <v>2974167</v>
      </c>
      <c r="D79" s="148" t="str">
        <f>IFERROR(__xludf.DUMMYFUNCTION("""COMPUTED_VALUE"""),"Work on Purpose")</f>
        <v>Work on Purpose</v>
      </c>
      <c r="E79" s="147" t="str">
        <f>IFERROR(__xludf.DUMMYFUNCTION("""COMPUTED_VALUE"""),"General")</f>
        <v>General</v>
      </c>
      <c r="F79" s="141" t="str">
        <f>IFERROR(__xludf.DUMMYFUNCTION("""COMPUTED_VALUE"""),"Beginner")</f>
        <v>Beginner</v>
      </c>
      <c r="G79" s="143">
        <f>IFERROR(__xludf.DUMMYFUNCTION("""COMPUTED_VALUE"""),0.035381944444444445)</f>
        <v>0.03538194444</v>
      </c>
      <c r="H79" s="151"/>
      <c r="I79" s="140"/>
      <c r="J79" s="140"/>
      <c r="K79" s="140"/>
      <c r="L79" s="147"/>
      <c r="M79" s="153"/>
      <c r="N79" s="147"/>
      <c r="O79" s="141"/>
      <c r="P79" s="141"/>
      <c r="Q79" s="151"/>
      <c r="R79" s="140"/>
      <c r="S79" s="140"/>
    </row>
    <row r="80" ht="33.75" customHeight="1">
      <c r="A80" s="140"/>
      <c r="B80" s="140"/>
      <c r="C80" s="147">
        <f>IFERROR(__xludf.DUMMYFUNCTION("""COMPUTED_VALUE"""),2864190.0)</f>
        <v>2864190</v>
      </c>
      <c r="D80" s="148" t="str">
        <f>IFERROR(__xludf.DUMMYFUNCTION("""COMPUTED_VALUE"""),"Superhuman Innovation (Blinkist Summary)")</f>
        <v>Superhuman Innovation (Blinkist Summary)</v>
      </c>
      <c r="E80" s="147" t="str">
        <f>IFERROR(__xludf.DUMMYFUNCTION("""COMPUTED_VALUE"""),"General")</f>
        <v>General</v>
      </c>
      <c r="F80" s="141" t="str">
        <f>IFERROR(__xludf.DUMMYFUNCTION("""COMPUTED_VALUE"""),"Beginner")</f>
        <v>Beginner</v>
      </c>
      <c r="G80" s="143">
        <f>IFERROR(__xludf.DUMMYFUNCTION("""COMPUTED_VALUE"""),0.014872685185185185)</f>
        <v>0.01487268519</v>
      </c>
      <c r="H80" s="151"/>
      <c r="I80" s="140"/>
      <c r="J80" s="140"/>
      <c r="K80" s="140"/>
      <c r="L80" s="147"/>
      <c r="M80" s="153"/>
      <c r="N80" s="147"/>
      <c r="O80" s="141"/>
      <c r="P80" s="141"/>
      <c r="Q80" s="151"/>
      <c r="R80" s="140"/>
      <c r="S80" s="140"/>
    </row>
    <row r="81" ht="33.75" customHeight="1">
      <c r="A81" s="154"/>
      <c r="B81" s="154"/>
      <c r="C81" s="147">
        <f>IFERROR(__xludf.DUMMYFUNCTION("""COMPUTED_VALUE"""),2825698.0)</f>
        <v>2825698</v>
      </c>
      <c r="D81" s="148" t="str">
        <f>IFERROR(__xludf.DUMMYFUNCTION("""COMPUTED_VALUE"""),"Inclusive Mindset")</f>
        <v>Inclusive Mindset</v>
      </c>
      <c r="E81" s="147" t="str">
        <f>IFERROR(__xludf.DUMMYFUNCTION("""COMPUTED_VALUE"""),"General")</f>
        <v>General</v>
      </c>
      <c r="F81" s="141" t="str">
        <f>IFERROR(__xludf.DUMMYFUNCTION("""COMPUTED_VALUE"""),"Beginner")</f>
        <v>Beginner</v>
      </c>
      <c r="G81" s="143">
        <f>IFERROR(__xludf.DUMMYFUNCTION("""COMPUTED_VALUE"""),0.03822916666666667)</f>
        <v>0.03822916667</v>
      </c>
      <c r="H81" s="151"/>
      <c r="I81" s="154"/>
      <c r="J81" s="154"/>
      <c r="K81" s="154"/>
      <c r="L81" s="147"/>
      <c r="M81" s="153"/>
      <c r="N81" s="147"/>
      <c r="O81" s="141"/>
      <c r="P81" s="141"/>
      <c r="Q81" s="151"/>
      <c r="R81" s="154"/>
      <c r="S81" s="154"/>
    </row>
    <row r="82" ht="33.75" customHeight="1">
      <c r="A82" s="154"/>
      <c r="B82" s="154"/>
      <c r="C82" s="147">
        <f>IFERROR(__xludf.DUMMYFUNCTION("""COMPUTED_VALUE"""),2834000.0)</f>
        <v>2834000</v>
      </c>
      <c r="D82" s="148" t="str">
        <f>IFERROR(__xludf.DUMMYFUNCTION("""COMPUTED_VALUE"""),"Project Leadership")</f>
        <v>Project Leadership</v>
      </c>
      <c r="E82" s="147" t="str">
        <f>IFERROR(__xludf.DUMMYFUNCTION("""COMPUTED_VALUE"""),"General")</f>
        <v>General</v>
      </c>
      <c r="F82" s="141" t="str">
        <f>IFERROR(__xludf.DUMMYFUNCTION("""COMPUTED_VALUE"""),"Beginner")</f>
        <v>Beginner</v>
      </c>
      <c r="G82" s="143">
        <f>IFERROR(__xludf.DUMMYFUNCTION("""COMPUTED_VALUE"""),0.029988425925925925)</f>
        <v>0.02998842593</v>
      </c>
      <c r="H82" s="151"/>
      <c r="I82" s="154"/>
      <c r="J82" s="154"/>
      <c r="K82" s="154"/>
      <c r="L82" s="147"/>
      <c r="M82" s="153"/>
      <c r="N82" s="147"/>
      <c r="O82" s="141"/>
      <c r="P82" s="141"/>
      <c r="Q82" s="151"/>
      <c r="R82" s="154"/>
      <c r="S82" s="154"/>
    </row>
    <row r="83" ht="33.75" customHeight="1">
      <c r="A83" s="154"/>
      <c r="B83" s="154"/>
      <c r="C83" s="147">
        <f>IFERROR(__xludf.DUMMYFUNCTION("""COMPUTED_VALUE"""),2883010.0)</f>
        <v>2883010</v>
      </c>
      <c r="D83" s="150" t="str">
        <f>IFERROR(__xludf.DUMMYFUNCTION("""COMPUTED_VALUE"""),"Navigating Complexity in Your Organization")</f>
        <v>Navigating Complexity in Your Organization</v>
      </c>
      <c r="E83" s="147" t="str">
        <f>IFERROR(__xludf.DUMMYFUNCTION("""COMPUTED_VALUE"""),"General")</f>
        <v>General</v>
      </c>
      <c r="F83" s="141" t="str">
        <f>IFERROR(__xludf.DUMMYFUNCTION("""COMPUTED_VALUE"""),"Beginner")</f>
        <v>Beginner</v>
      </c>
      <c r="G83" s="143">
        <f>IFERROR(__xludf.DUMMYFUNCTION("""COMPUTED_VALUE"""),0.028958333333333332)</f>
        <v>0.02895833333</v>
      </c>
      <c r="H83" s="151"/>
      <c r="I83" s="154"/>
      <c r="J83" s="154"/>
      <c r="K83" s="154"/>
      <c r="L83" s="147"/>
      <c r="M83" s="159"/>
      <c r="N83" s="147"/>
      <c r="O83" s="141"/>
      <c r="P83" s="143"/>
      <c r="Q83" s="151"/>
      <c r="R83" s="154"/>
      <c r="S83" s="154"/>
    </row>
    <row r="84" ht="33.75" customHeight="1">
      <c r="A84" s="154"/>
      <c r="B84" s="154"/>
      <c r="C84" s="147">
        <f>IFERROR(__xludf.DUMMYFUNCTION("""COMPUTED_VALUE"""),2884171.0)</f>
        <v>2884171</v>
      </c>
      <c r="D84" s="150" t="str">
        <f>IFERROR(__xludf.DUMMYFUNCTION("""COMPUTED_VALUE"""),"How to Inspire and Develop Your Direct Reports")</f>
        <v>How to Inspire and Develop Your Direct Reports</v>
      </c>
      <c r="E84" s="147" t="str">
        <f>IFERROR(__xludf.DUMMYFUNCTION("""COMPUTED_VALUE"""),"General")</f>
        <v>General</v>
      </c>
      <c r="F84" s="141" t="str">
        <f>IFERROR(__xludf.DUMMYFUNCTION("""COMPUTED_VALUE"""),"Beginner")</f>
        <v>Beginner</v>
      </c>
      <c r="G84" s="143">
        <f>IFERROR(__xludf.DUMMYFUNCTION("""COMPUTED_VALUE"""),0.020370370370370372)</f>
        <v>0.02037037037</v>
      </c>
      <c r="H84" s="151"/>
      <c r="I84" s="154"/>
      <c r="J84" s="154"/>
      <c r="K84" s="154"/>
      <c r="L84" s="147"/>
      <c r="M84" s="159"/>
      <c r="N84" s="147"/>
      <c r="O84" s="141"/>
      <c r="P84" s="143"/>
      <c r="Q84" s="151"/>
      <c r="R84" s="154"/>
      <c r="S84" s="154"/>
    </row>
    <row r="85" ht="33.75" customHeight="1">
      <c r="A85" s="154"/>
      <c r="B85" s="154"/>
      <c r="C85" s="147">
        <f>IFERROR(__xludf.DUMMYFUNCTION("""COMPUTED_VALUE"""),3006176.0)</f>
        <v>3006176</v>
      </c>
      <c r="D85" s="150" t="str">
        <f>IFERROR(__xludf.DUMMYFUNCTION("""COMPUTED_VALUE"""),"Leading through Chaos")</f>
        <v>Leading through Chaos</v>
      </c>
      <c r="E85" s="147" t="str">
        <f>IFERROR(__xludf.DUMMYFUNCTION("""COMPUTED_VALUE"""),"General")</f>
        <v>General</v>
      </c>
      <c r="F85" s="141" t="str">
        <f>IFERROR(__xludf.DUMMYFUNCTION("""COMPUTED_VALUE"""),"Beginner")</f>
        <v>Beginner</v>
      </c>
      <c r="G85" s="143">
        <f>IFERROR(__xludf.DUMMYFUNCTION("""COMPUTED_VALUE"""),0.04038194444444444)</f>
        <v>0.04038194444</v>
      </c>
      <c r="H85" s="151"/>
      <c r="I85" s="154"/>
      <c r="J85" s="154"/>
      <c r="K85" s="154"/>
      <c r="L85" s="147"/>
      <c r="M85" s="159"/>
      <c r="N85" s="147"/>
      <c r="O85" s="141"/>
      <c r="P85" s="143"/>
      <c r="Q85" s="151"/>
      <c r="R85" s="154"/>
      <c r="S85" s="154"/>
    </row>
    <row r="86" ht="33.75" customHeight="1">
      <c r="A86" s="154"/>
      <c r="B86" s="154"/>
      <c r="C86" s="147">
        <f>IFERROR(__xludf.DUMMYFUNCTION("""COMPUTED_VALUE"""),3010103.0)</f>
        <v>3010103</v>
      </c>
      <c r="D86" s="150" t="str">
        <f>IFERROR(__xludf.DUMMYFUNCTION("""COMPUTED_VALUE"""),"Overcoming Obstacles to Leading with Confidence")</f>
        <v>Overcoming Obstacles to Leading with Confidence</v>
      </c>
      <c r="E86" s="147" t="str">
        <f>IFERROR(__xludf.DUMMYFUNCTION("""COMPUTED_VALUE"""),"General")</f>
        <v>General</v>
      </c>
      <c r="F86" s="141" t="str">
        <f>IFERROR(__xludf.DUMMYFUNCTION("""COMPUTED_VALUE"""),"Beginner")</f>
        <v>Beginner</v>
      </c>
      <c r="G86" s="143">
        <f>IFERROR(__xludf.DUMMYFUNCTION("""COMPUTED_VALUE"""),0.04984953703703704)</f>
        <v>0.04984953704</v>
      </c>
      <c r="H86" s="151"/>
      <c r="I86" s="154"/>
      <c r="J86" s="154"/>
      <c r="K86" s="154"/>
      <c r="L86" s="147"/>
      <c r="M86" s="159"/>
      <c r="N86" s="147"/>
      <c r="O86" s="141"/>
      <c r="P86" s="143"/>
      <c r="Q86" s="151"/>
      <c r="R86" s="154"/>
      <c r="S86" s="154"/>
    </row>
    <row r="87" ht="33.75" customHeight="1">
      <c r="A87" s="154"/>
      <c r="B87" s="154"/>
      <c r="C87" s="147">
        <f>IFERROR(__xludf.DUMMYFUNCTION("""COMPUTED_VALUE"""),3007731.0)</f>
        <v>3007731</v>
      </c>
      <c r="D87" s="150" t="str">
        <f>IFERROR(__xludf.DUMMYFUNCTION("""COMPUTED_VALUE"""),"Effective Sponsorship Across Difference (for Sponsors)")</f>
        <v>Effective Sponsorship Across Difference (for Sponsors)</v>
      </c>
      <c r="E87" s="147" t="str">
        <f>IFERROR(__xludf.DUMMYFUNCTION("""COMPUTED_VALUE"""),"General")</f>
        <v>General</v>
      </c>
      <c r="F87" s="141" t="str">
        <f>IFERROR(__xludf.DUMMYFUNCTION("""COMPUTED_VALUE"""),"Beginner")</f>
        <v>Beginner</v>
      </c>
      <c r="G87" s="143">
        <f>IFERROR(__xludf.DUMMYFUNCTION("""COMPUTED_VALUE"""),0.02474537037037037)</f>
        <v>0.02474537037</v>
      </c>
      <c r="H87" s="151"/>
      <c r="I87" s="154"/>
      <c r="J87" s="154"/>
      <c r="K87" s="154"/>
      <c r="L87" s="147"/>
      <c r="M87" s="159"/>
      <c r="N87" s="147"/>
      <c r="O87" s="141"/>
      <c r="P87" s="143"/>
      <c r="Q87" s="151"/>
      <c r="R87" s="154"/>
      <c r="S87" s="154"/>
    </row>
    <row r="88" ht="33.75" customHeight="1">
      <c r="A88" s="154"/>
      <c r="B88" s="154"/>
      <c r="C88" s="147">
        <f>IFERROR(__xludf.DUMMYFUNCTION("""COMPUTED_VALUE"""),2865087.0)</f>
        <v>2865087</v>
      </c>
      <c r="D88" s="150" t="str">
        <f>IFERROR(__xludf.DUMMYFUNCTION("""COMPUTED_VALUE"""),"Leading with a Growth Mindset")</f>
        <v>Leading with a Growth Mindset</v>
      </c>
      <c r="E88" s="147" t="str">
        <f>IFERROR(__xludf.DUMMYFUNCTION("""COMPUTED_VALUE"""),"General")</f>
        <v>General</v>
      </c>
      <c r="F88" s="141" t="str">
        <f>IFERROR(__xludf.DUMMYFUNCTION("""COMPUTED_VALUE"""),"Intermediate")</f>
        <v>Intermediate</v>
      </c>
      <c r="G88" s="143">
        <f>IFERROR(__xludf.DUMMYFUNCTION("""COMPUTED_VALUE"""),0.028136574074074074)</f>
        <v>0.02813657407</v>
      </c>
      <c r="H88" s="151"/>
      <c r="I88" s="154"/>
      <c r="J88" s="154"/>
      <c r="K88" s="154"/>
      <c r="L88" s="147"/>
      <c r="M88" s="159"/>
      <c r="N88" s="147"/>
      <c r="O88" s="141"/>
      <c r="P88" s="143"/>
      <c r="Q88" s="151"/>
      <c r="R88" s="154"/>
      <c r="S88" s="154"/>
    </row>
    <row r="89" ht="33.75" customHeight="1">
      <c r="A89" s="154"/>
      <c r="B89" s="154"/>
      <c r="C89" s="147">
        <f>IFERROR(__xludf.DUMMYFUNCTION("""COMPUTED_VALUE"""),2822683.0)</f>
        <v>2822683</v>
      </c>
      <c r="D89" s="150" t="str">
        <f>IFERROR(__xludf.DUMMYFUNCTION("""COMPUTED_VALUE"""),"Demonstrating Accountability as a Leader")</f>
        <v>Demonstrating Accountability as a Leader</v>
      </c>
      <c r="E89" s="147" t="str">
        <f>IFERROR(__xludf.DUMMYFUNCTION("""COMPUTED_VALUE"""),"General")</f>
        <v>General</v>
      </c>
      <c r="F89" s="141" t="str">
        <f>IFERROR(__xludf.DUMMYFUNCTION("""COMPUTED_VALUE"""),"Intermediate")</f>
        <v>Intermediate</v>
      </c>
      <c r="G89" s="143">
        <f>IFERROR(__xludf.DUMMYFUNCTION("""COMPUTED_VALUE"""),0.010833333333333334)</f>
        <v>0.01083333333</v>
      </c>
      <c r="H89" s="151"/>
      <c r="I89" s="154"/>
      <c r="J89" s="154"/>
      <c r="K89" s="154"/>
      <c r="L89" s="147"/>
      <c r="M89" s="159"/>
      <c r="N89" s="147"/>
      <c r="O89" s="141"/>
      <c r="P89" s="143"/>
      <c r="Q89" s="151"/>
      <c r="R89" s="154"/>
      <c r="S89" s="154"/>
    </row>
    <row r="90" ht="33.75" customHeight="1">
      <c r="A90" s="154"/>
      <c r="B90" s="154"/>
      <c r="C90" s="147">
        <f>IFERROR(__xludf.DUMMYFUNCTION("""COMPUTED_VALUE"""),2824379.0)</f>
        <v>2824379</v>
      </c>
      <c r="D90" s="150" t="str">
        <f>IFERROR(__xludf.DUMMYFUNCTION("""COMPUTED_VALUE"""),"Fostering Belonging as a Leader")</f>
        <v>Fostering Belonging as a Leader</v>
      </c>
      <c r="E90" s="147" t="str">
        <f>IFERROR(__xludf.DUMMYFUNCTION("""COMPUTED_VALUE"""),"General")</f>
        <v>General</v>
      </c>
      <c r="F90" s="141" t="str">
        <f>IFERROR(__xludf.DUMMYFUNCTION("""COMPUTED_VALUE"""),"Intermediate")</f>
        <v>Intermediate</v>
      </c>
      <c r="G90" s="143">
        <f>IFERROR(__xludf.DUMMYFUNCTION("""COMPUTED_VALUE"""),0.02185185185185185)</f>
        <v>0.02185185185</v>
      </c>
      <c r="H90" s="151"/>
      <c r="I90" s="154"/>
      <c r="J90" s="154"/>
      <c r="K90" s="154"/>
      <c r="L90" s="147"/>
      <c r="M90" s="159"/>
      <c r="N90" s="147"/>
      <c r="O90" s="141"/>
      <c r="P90" s="143"/>
      <c r="Q90" s="151"/>
      <c r="R90" s="154"/>
      <c r="S90" s="154"/>
    </row>
    <row r="91" ht="33.75" customHeight="1">
      <c r="A91" s="154"/>
      <c r="B91" s="154"/>
      <c r="C91" s="147">
        <f>IFERROR(__xludf.DUMMYFUNCTION("""COMPUTED_VALUE"""),2836021.0)</f>
        <v>2836021</v>
      </c>
      <c r="D91" s="150" t="str">
        <f>IFERROR(__xludf.DUMMYFUNCTION("""COMPUTED_VALUE"""),"Leadership Skills for The Future")</f>
        <v>Leadership Skills for The Future</v>
      </c>
      <c r="E91" s="147" t="str">
        <f>IFERROR(__xludf.DUMMYFUNCTION("""COMPUTED_VALUE"""),"General")</f>
        <v>General</v>
      </c>
      <c r="F91" s="141" t="str">
        <f>IFERROR(__xludf.DUMMYFUNCTION("""COMPUTED_VALUE"""),"Intermediate")</f>
        <v>Intermediate</v>
      </c>
      <c r="G91" s="143">
        <f>IFERROR(__xludf.DUMMYFUNCTION("""COMPUTED_VALUE"""),0.03795138888888889)</f>
        <v>0.03795138889</v>
      </c>
      <c r="H91" s="151"/>
      <c r="I91" s="154"/>
      <c r="J91" s="154"/>
      <c r="K91" s="154"/>
      <c r="L91" s="147"/>
      <c r="M91" s="159"/>
      <c r="N91" s="147"/>
      <c r="O91" s="141"/>
      <c r="P91" s="143"/>
      <c r="Q91" s="151"/>
      <c r="R91" s="154"/>
      <c r="S91" s="154"/>
    </row>
    <row r="92" ht="33.75" customHeight="1">
      <c r="A92" s="154"/>
      <c r="B92" s="154"/>
      <c r="C92" s="147">
        <f>IFERROR(__xludf.DUMMYFUNCTION("""COMPUTED_VALUE"""),2822422.0)</f>
        <v>2822422</v>
      </c>
      <c r="D92" s="150" t="str">
        <f>IFERROR(__xludf.DUMMYFUNCTION("""COMPUTED_VALUE"""),"How to Successfully Lead a PMO")</f>
        <v>How to Successfully Lead a PMO</v>
      </c>
      <c r="E92" s="147" t="str">
        <f>IFERROR(__xludf.DUMMYFUNCTION("""COMPUTED_VALUE"""),"General")</f>
        <v>General</v>
      </c>
      <c r="F92" s="141" t="str">
        <f>IFERROR(__xludf.DUMMYFUNCTION("""COMPUTED_VALUE"""),"Intermediate")</f>
        <v>Intermediate</v>
      </c>
      <c r="G92" s="143">
        <f>IFERROR(__xludf.DUMMYFUNCTION("""COMPUTED_VALUE"""),0.04137731481481482)</f>
        <v>0.04137731481</v>
      </c>
      <c r="H92" s="151"/>
      <c r="I92" s="154"/>
      <c r="J92" s="154"/>
      <c r="K92" s="154"/>
      <c r="L92" s="147"/>
      <c r="M92" s="159"/>
      <c r="N92" s="147"/>
      <c r="O92" s="141"/>
      <c r="P92" s="143"/>
      <c r="Q92" s="151"/>
      <c r="R92" s="154"/>
      <c r="S92" s="154"/>
    </row>
    <row r="93" ht="33.75" customHeight="1">
      <c r="A93" s="154"/>
      <c r="B93" s="154"/>
      <c r="C93" s="147">
        <f>IFERROR(__xludf.DUMMYFUNCTION("""COMPUTED_VALUE"""),483102.0)</f>
        <v>483102</v>
      </c>
      <c r="D93" s="150" t="str">
        <f>IFERROR(__xludf.DUMMYFUNCTION("""COMPUTED_VALUE"""),"Leading Projects")</f>
        <v>Leading Projects</v>
      </c>
      <c r="E93" s="147" t="str">
        <f>IFERROR(__xludf.DUMMYFUNCTION("""COMPUTED_VALUE"""),"General")</f>
        <v>General</v>
      </c>
      <c r="F93" s="141" t="str">
        <f>IFERROR(__xludf.DUMMYFUNCTION("""COMPUTED_VALUE"""),"Intermediate")</f>
        <v>Intermediate</v>
      </c>
      <c r="G93" s="143">
        <f>IFERROR(__xludf.DUMMYFUNCTION("""COMPUTED_VALUE"""),0.09143518518518519)</f>
        <v>0.09143518519</v>
      </c>
      <c r="H93" s="151"/>
      <c r="I93" s="154"/>
      <c r="J93" s="154"/>
      <c r="K93" s="154"/>
      <c r="L93" s="147"/>
      <c r="M93" s="159"/>
      <c r="N93" s="147"/>
      <c r="O93" s="141"/>
      <c r="P93" s="143"/>
      <c r="Q93" s="151"/>
      <c r="R93" s="154"/>
      <c r="S93" s="154"/>
    </row>
    <row r="94" ht="33.75" customHeight="1">
      <c r="A94" s="154"/>
      <c r="B94" s="154"/>
      <c r="C94" s="147">
        <f>IFERROR(__xludf.DUMMYFUNCTION("""COMPUTED_VALUE"""),2814066.0)</f>
        <v>2814066</v>
      </c>
      <c r="D94" s="150" t="str">
        <f>IFERROR(__xludf.DUMMYFUNCTION("""COMPUTED_VALUE"""),"Leading with Kindness and Strength")</f>
        <v>Leading with Kindness and Strength</v>
      </c>
      <c r="E94" s="147" t="str">
        <f>IFERROR(__xludf.DUMMYFUNCTION("""COMPUTED_VALUE"""),"General")</f>
        <v>General</v>
      </c>
      <c r="F94" s="141" t="str">
        <f>IFERROR(__xludf.DUMMYFUNCTION("""COMPUTED_VALUE"""),"Intermediate")</f>
        <v>Intermediate</v>
      </c>
      <c r="G94" s="143">
        <f>IFERROR(__xludf.DUMMYFUNCTION("""COMPUTED_VALUE"""),0.02802083333333333)</f>
        <v>0.02802083333</v>
      </c>
      <c r="H94" s="151"/>
      <c r="I94" s="154"/>
      <c r="J94" s="154"/>
      <c r="K94" s="154"/>
      <c r="L94" s="147"/>
      <c r="M94" s="159"/>
      <c r="N94" s="147"/>
      <c r="O94" s="141"/>
      <c r="P94" s="143"/>
      <c r="Q94" s="151"/>
      <c r="R94" s="154"/>
      <c r="S94" s="154"/>
    </row>
    <row r="95" ht="33.75" customHeight="1">
      <c r="A95" s="154"/>
      <c r="B95" s="154"/>
      <c r="C95" s="147">
        <f>IFERROR(__xludf.DUMMYFUNCTION("""COMPUTED_VALUE"""),387349.0)</f>
        <v>387349</v>
      </c>
      <c r="D95" s="150" t="str">
        <f>IFERROR(__xludf.DUMMYFUNCTION("""COMPUTED_VALUE"""),"Powerless to Powerful: Taking Control")</f>
        <v>Powerless to Powerful: Taking Control</v>
      </c>
      <c r="E95" s="147" t="str">
        <f>IFERROR(__xludf.DUMMYFUNCTION("""COMPUTED_VALUE"""),"General")</f>
        <v>General</v>
      </c>
      <c r="F95" s="141" t="str">
        <f>IFERROR(__xludf.DUMMYFUNCTION("""COMPUTED_VALUE"""),"General")</f>
        <v>General</v>
      </c>
      <c r="G95" s="143">
        <f>IFERROR(__xludf.DUMMYFUNCTION("""COMPUTED_VALUE"""),0.033796296296296297)</f>
        <v>0.0337962963</v>
      </c>
      <c r="H95" s="151"/>
      <c r="I95" s="154"/>
      <c r="J95" s="154"/>
      <c r="K95" s="154"/>
      <c r="L95" s="147"/>
      <c r="M95" s="159"/>
      <c r="N95" s="147"/>
      <c r="O95" s="141"/>
      <c r="P95" s="143"/>
      <c r="Q95" s="151"/>
      <c r="R95" s="154"/>
      <c r="S95" s="154"/>
    </row>
    <row r="96" ht="33.75" customHeight="1">
      <c r="A96" s="154"/>
      <c r="B96" s="154"/>
      <c r="C96" s="147">
        <f>IFERROR(__xludf.DUMMYFUNCTION("""COMPUTED_VALUE"""),2825124.0)</f>
        <v>2825124</v>
      </c>
      <c r="D96" s="150" t="str">
        <f>IFERROR(__xludf.DUMMYFUNCTION("""COMPUTED_VALUE"""),"Building and Managing a High-Performing Sales Team")</f>
        <v>Building and Managing a High-Performing Sales Team</v>
      </c>
      <c r="E96" s="147" t="str">
        <f>IFERROR(__xludf.DUMMYFUNCTION("""COMPUTED_VALUE"""),"General")</f>
        <v>General</v>
      </c>
      <c r="F96" s="141" t="str">
        <f>IFERROR(__xludf.DUMMYFUNCTION("""COMPUTED_VALUE"""),"Intermediate")</f>
        <v>Intermediate</v>
      </c>
      <c r="G96" s="143">
        <f>IFERROR(__xludf.DUMMYFUNCTION("""COMPUTED_VALUE"""),0.039699074074074074)</f>
        <v>0.03969907407</v>
      </c>
      <c r="H96" s="151"/>
      <c r="I96" s="154"/>
      <c r="J96" s="154"/>
      <c r="K96" s="154"/>
      <c r="L96" s="147"/>
      <c r="M96" s="159"/>
      <c r="N96" s="147"/>
      <c r="O96" s="141"/>
      <c r="P96" s="143"/>
      <c r="Q96" s="151"/>
      <c r="R96" s="154"/>
      <c r="S96" s="154"/>
    </row>
    <row r="97" ht="33.75" customHeight="1">
      <c r="A97" s="154"/>
      <c r="B97" s="154"/>
      <c r="C97" s="147">
        <f>IFERROR(__xludf.DUMMYFUNCTION("""COMPUTED_VALUE"""),2825499.0)</f>
        <v>2825499</v>
      </c>
      <c r="D97" s="150" t="str">
        <f>IFERROR(__xludf.DUMMYFUNCTION("""COMPUTED_VALUE"""),"Predictive Analytics Essential Training for Executives")</f>
        <v>Predictive Analytics Essential Training for Executives</v>
      </c>
      <c r="E97" s="147" t="str">
        <f>IFERROR(__xludf.DUMMYFUNCTION("""COMPUTED_VALUE"""),"General")</f>
        <v>General</v>
      </c>
      <c r="F97" s="141" t="str">
        <f>IFERROR(__xludf.DUMMYFUNCTION("""COMPUTED_VALUE"""),"Intermediate")</f>
        <v>Intermediate</v>
      </c>
      <c r="G97" s="143">
        <f>IFERROR(__xludf.DUMMYFUNCTION("""COMPUTED_VALUE"""),0.05576388888888889)</f>
        <v>0.05576388889</v>
      </c>
      <c r="H97" s="151"/>
      <c r="I97" s="154"/>
      <c r="J97" s="154"/>
      <c r="K97" s="154"/>
      <c r="L97" s="147"/>
      <c r="M97" s="159"/>
      <c r="N97" s="147"/>
      <c r="O97" s="141"/>
      <c r="P97" s="143"/>
      <c r="Q97" s="151"/>
      <c r="R97" s="154"/>
      <c r="S97" s="154"/>
    </row>
    <row r="98" ht="33.75" customHeight="1">
      <c r="A98" s="154"/>
      <c r="B98" s="154"/>
      <c r="C98" s="147">
        <f>IFERROR(__xludf.DUMMYFUNCTION("""COMPUTED_VALUE"""),2822642.0)</f>
        <v>2822642</v>
      </c>
      <c r="D98" s="150" t="str">
        <f>IFERROR(__xludf.DUMMYFUNCTION("""COMPUTED_VALUE"""),"Leadership Mindsets")</f>
        <v>Leadership Mindsets</v>
      </c>
      <c r="E98" s="147" t="str">
        <f>IFERROR(__xludf.DUMMYFUNCTION("""COMPUTED_VALUE"""),"General")</f>
        <v>General</v>
      </c>
      <c r="F98" s="141" t="str">
        <f>IFERROR(__xludf.DUMMYFUNCTION("""COMPUTED_VALUE"""),"Intermediate")</f>
        <v>Intermediate</v>
      </c>
      <c r="G98" s="143">
        <f>IFERROR(__xludf.DUMMYFUNCTION("""COMPUTED_VALUE"""),0.024386574074074074)</f>
        <v>0.02438657407</v>
      </c>
      <c r="H98" s="151"/>
      <c r="I98" s="154"/>
      <c r="J98" s="154"/>
      <c r="K98" s="154"/>
      <c r="L98" s="147"/>
      <c r="M98" s="159"/>
      <c r="N98" s="147"/>
      <c r="O98" s="141"/>
      <c r="P98" s="143"/>
      <c r="Q98" s="151"/>
      <c r="R98" s="154"/>
      <c r="S98" s="154"/>
    </row>
    <row r="99" ht="33.75" customHeight="1">
      <c r="A99" s="154"/>
      <c r="B99" s="154"/>
      <c r="C99" s="147">
        <f>IFERROR(__xludf.DUMMYFUNCTION("""COMPUTED_VALUE"""),2824374.0)</f>
        <v>2824374</v>
      </c>
      <c r="D99" s="150" t="str">
        <f>IFERROR(__xludf.DUMMYFUNCTION("""COMPUTED_VALUE"""),"How Leaders Can Motivate Others by Creating Meaning")</f>
        <v>How Leaders Can Motivate Others by Creating Meaning</v>
      </c>
      <c r="E99" s="147" t="str">
        <f>IFERROR(__xludf.DUMMYFUNCTION("""COMPUTED_VALUE"""),"General")</f>
        <v>General</v>
      </c>
      <c r="F99" s="141" t="str">
        <f>IFERROR(__xludf.DUMMYFUNCTION("""COMPUTED_VALUE"""),"Intermediate")</f>
        <v>Intermediate</v>
      </c>
      <c r="G99" s="143">
        <f>IFERROR(__xludf.DUMMYFUNCTION("""COMPUTED_VALUE"""),0.024583333333333332)</f>
        <v>0.02458333333</v>
      </c>
      <c r="H99" s="151"/>
      <c r="I99" s="154"/>
      <c r="J99" s="154"/>
      <c r="K99" s="154"/>
      <c r="L99" s="147"/>
      <c r="M99" s="159"/>
      <c r="N99" s="147"/>
      <c r="O99" s="141"/>
      <c r="P99" s="143"/>
      <c r="Q99" s="151"/>
      <c r="R99" s="154"/>
      <c r="S99" s="154"/>
    </row>
    <row r="100" ht="33.75" customHeight="1">
      <c r="A100" s="154"/>
      <c r="B100" s="154"/>
      <c r="C100" s="147">
        <f>IFERROR(__xludf.DUMMYFUNCTION("""COMPUTED_VALUE"""),2836015.0)</f>
        <v>2836015</v>
      </c>
      <c r="D100" s="150" t="str">
        <f>IFERROR(__xludf.DUMMYFUNCTION("""COMPUTED_VALUE"""),"How to Innovate and Stay Relevant in Times of Change and Uncertainty")</f>
        <v>How to Innovate and Stay Relevant in Times of Change and Uncertainty</v>
      </c>
      <c r="E100" s="147" t="str">
        <f>IFERROR(__xludf.DUMMYFUNCTION("""COMPUTED_VALUE"""),"General")</f>
        <v>General</v>
      </c>
      <c r="F100" s="141" t="str">
        <f>IFERROR(__xludf.DUMMYFUNCTION("""COMPUTED_VALUE"""),"Intermediate")</f>
        <v>Intermediate</v>
      </c>
      <c r="G100" s="143">
        <f>IFERROR(__xludf.DUMMYFUNCTION("""COMPUTED_VALUE"""),0.021342592592592594)</f>
        <v>0.02134259259</v>
      </c>
      <c r="H100" s="151"/>
      <c r="I100" s="154"/>
      <c r="J100" s="154"/>
      <c r="K100" s="154"/>
      <c r="L100" s="147"/>
      <c r="M100" s="159"/>
      <c r="N100" s="147"/>
      <c r="O100" s="141"/>
      <c r="P100" s="143"/>
      <c r="Q100" s="151"/>
      <c r="R100" s="154"/>
      <c r="S100" s="154"/>
    </row>
    <row r="101" ht="33.75" customHeight="1">
      <c r="A101" s="154"/>
      <c r="B101" s="154"/>
      <c r="C101" s="147">
        <f>IFERROR(__xludf.DUMMYFUNCTION("""COMPUTED_VALUE"""),2838146.0)</f>
        <v>2838146</v>
      </c>
      <c r="D101" s="150" t="str">
        <f>IFERROR(__xludf.DUMMYFUNCTION("""COMPUTED_VALUE"""),"Leading in Uncertain Times")</f>
        <v>Leading in Uncertain Times</v>
      </c>
      <c r="E101" s="147" t="str">
        <f>IFERROR(__xludf.DUMMYFUNCTION("""COMPUTED_VALUE"""),"General")</f>
        <v>General</v>
      </c>
      <c r="F101" s="141" t="str">
        <f>IFERROR(__xludf.DUMMYFUNCTION("""COMPUTED_VALUE"""),"Intermediate")</f>
        <v>Intermediate</v>
      </c>
      <c r="G101" s="143">
        <f>IFERROR(__xludf.DUMMYFUNCTION("""COMPUTED_VALUE"""),0.03200231481481482)</f>
        <v>0.03200231481</v>
      </c>
      <c r="H101" s="151"/>
      <c r="I101" s="154"/>
      <c r="J101" s="154"/>
      <c r="K101" s="154"/>
      <c r="L101" s="147"/>
      <c r="M101" s="159"/>
      <c r="N101" s="147"/>
      <c r="O101" s="141"/>
      <c r="P101" s="143"/>
      <c r="Q101" s="151"/>
      <c r="R101" s="154"/>
      <c r="S101" s="154"/>
    </row>
    <row r="102" ht="33.75" customHeight="1">
      <c r="A102" s="154"/>
      <c r="B102" s="154"/>
      <c r="C102" s="147">
        <f>IFERROR(__xludf.DUMMYFUNCTION("""COMPUTED_VALUE"""),2837260.0)</f>
        <v>2837260</v>
      </c>
      <c r="D102" s="150" t="str">
        <f>IFERROR(__xludf.DUMMYFUNCTION("""COMPUTED_VALUE"""),"The Definitive Drucker (getAbstract Summary)")</f>
        <v>The Definitive Drucker (getAbstract Summary)</v>
      </c>
      <c r="E102" s="147" t="str">
        <f>IFERROR(__xludf.DUMMYFUNCTION("""COMPUTED_VALUE"""),"General")</f>
        <v>General</v>
      </c>
      <c r="F102" s="141" t="str">
        <f>IFERROR(__xludf.DUMMYFUNCTION("""COMPUTED_VALUE"""),"Intermediate")</f>
        <v>Intermediate</v>
      </c>
      <c r="G102" s="143">
        <f>IFERROR(__xludf.DUMMYFUNCTION("""COMPUTED_VALUE"""),0.006631944444444445)</f>
        <v>0.006631944444</v>
      </c>
      <c r="H102" s="151"/>
      <c r="I102" s="154"/>
      <c r="J102" s="154"/>
      <c r="K102" s="154"/>
      <c r="L102" s="147"/>
      <c r="M102" s="159"/>
      <c r="N102" s="147"/>
      <c r="O102" s="141"/>
      <c r="P102" s="143"/>
      <c r="Q102" s="151"/>
      <c r="R102" s="154"/>
      <c r="S102" s="154"/>
    </row>
    <row r="103" ht="33.75" customHeight="1">
      <c r="A103" s="154"/>
      <c r="B103" s="154"/>
      <c r="C103" s="147">
        <f>IFERROR(__xludf.DUMMYFUNCTION("""COMPUTED_VALUE"""),2823579.0)</f>
        <v>2823579</v>
      </c>
      <c r="D103" s="150" t="str">
        <f>IFERROR(__xludf.DUMMYFUNCTION("""COMPUTED_VALUE"""),"Adaptive Leadership for VUCA Challenges")</f>
        <v>Adaptive Leadership for VUCA Challenges</v>
      </c>
      <c r="E103" s="147" t="str">
        <f>IFERROR(__xludf.DUMMYFUNCTION("""COMPUTED_VALUE"""),"General")</f>
        <v>General</v>
      </c>
      <c r="F103" s="141" t="str">
        <f>IFERROR(__xludf.DUMMYFUNCTION("""COMPUTED_VALUE"""),"Advanced")</f>
        <v>Advanced</v>
      </c>
      <c r="G103" s="143">
        <f>IFERROR(__xludf.DUMMYFUNCTION("""COMPUTED_VALUE"""),0.022662037037037036)</f>
        <v>0.02266203704</v>
      </c>
      <c r="H103" s="151"/>
      <c r="I103" s="154"/>
      <c r="J103" s="154"/>
      <c r="K103" s="154"/>
      <c r="L103" s="147"/>
      <c r="M103" s="159"/>
      <c r="N103" s="147"/>
      <c r="O103" s="141"/>
      <c r="P103" s="143"/>
      <c r="Q103" s="151"/>
      <c r="R103" s="154"/>
      <c r="S103" s="154"/>
    </row>
    <row r="104" ht="33.75" customHeight="1">
      <c r="A104" s="154"/>
      <c r="B104" s="154"/>
      <c r="C104" s="147">
        <f>IFERROR(__xludf.DUMMYFUNCTION("""COMPUTED_VALUE"""),2831004.0)</f>
        <v>2831004</v>
      </c>
      <c r="D104" s="150" t="str">
        <f>IFERROR(__xludf.DUMMYFUNCTION("""COMPUTED_VALUE"""),"Mastering Organizational Chaos")</f>
        <v>Mastering Organizational Chaos</v>
      </c>
      <c r="E104" s="147" t="str">
        <f>IFERROR(__xludf.DUMMYFUNCTION("""COMPUTED_VALUE"""),"General")</f>
        <v>General</v>
      </c>
      <c r="F104" s="141" t="str">
        <f>IFERROR(__xludf.DUMMYFUNCTION("""COMPUTED_VALUE"""),"Advanced")</f>
        <v>Advanced</v>
      </c>
      <c r="G104" s="143">
        <f>IFERROR(__xludf.DUMMYFUNCTION("""COMPUTED_VALUE"""),0.02556712962962963)</f>
        <v>0.02556712963</v>
      </c>
      <c r="H104" s="151"/>
      <c r="I104" s="154"/>
      <c r="J104" s="154"/>
      <c r="K104" s="154"/>
      <c r="L104" s="147"/>
      <c r="M104" s="159"/>
      <c r="N104" s="147"/>
      <c r="O104" s="141"/>
      <c r="P104" s="143"/>
      <c r="Q104" s="151"/>
      <c r="R104" s="154"/>
      <c r="S104" s="154"/>
    </row>
    <row r="105" ht="33.75" customHeight="1">
      <c r="A105" s="154"/>
      <c r="B105" s="154"/>
      <c r="C105" s="147">
        <f>IFERROR(__xludf.DUMMYFUNCTION("""COMPUTED_VALUE"""),512773.0)</f>
        <v>512773</v>
      </c>
      <c r="D105" s="150" t="str">
        <f>IFERROR(__xludf.DUMMYFUNCTION("""COMPUTED_VALUE"""),"Bill George on Self-Awareness, Authenticity, and Leadership")</f>
        <v>Bill George on Self-Awareness, Authenticity, and Leadership</v>
      </c>
      <c r="E105" s="147" t="str">
        <f>IFERROR(__xludf.DUMMYFUNCTION("""COMPUTED_VALUE"""),"General")</f>
        <v>General</v>
      </c>
      <c r="F105" s="141" t="str">
        <f>IFERROR(__xludf.DUMMYFUNCTION("""COMPUTED_VALUE"""),"General")</f>
        <v>General</v>
      </c>
      <c r="G105" s="143">
        <f>IFERROR(__xludf.DUMMYFUNCTION("""COMPUTED_VALUE"""),0.015810185185185184)</f>
        <v>0.01581018519</v>
      </c>
      <c r="H105" s="151"/>
      <c r="I105" s="154"/>
      <c r="J105" s="154"/>
      <c r="K105" s="154"/>
      <c r="L105" s="147"/>
      <c r="M105" s="159"/>
      <c r="N105" s="147"/>
      <c r="O105" s="141"/>
      <c r="P105" s="143"/>
      <c r="Q105" s="151"/>
      <c r="R105" s="154"/>
      <c r="S105" s="154"/>
    </row>
    <row r="106" ht="33.75" customHeight="1">
      <c r="A106" s="154"/>
      <c r="B106" s="154"/>
      <c r="C106" s="147">
        <f>IFERROR(__xludf.DUMMYFUNCTION("""COMPUTED_VALUE"""),458640.0)</f>
        <v>458640</v>
      </c>
      <c r="D106" s="150" t="str">
        <f>IFERROR(__xludf.DUMMYFUNCTION("""COMPUTED_VALUE"""),"Fred Kofman on Accountability")</f>
        <v>Fred Kofman on Accountability</v>
      </c>
      <c r="E106" s="147" t="str">
        <f>IFERROR(__xludf.DUMMYFUNCTION("""COMPUTED_VALUE"""),"General")</f>
        <v>General</v>
      </c>
      <c r="F106" s="141" t="str">
        <f>IFERROR(__xludf.DUMMYFUNCTION("""COMPUTED_VALUE"""),"General")</f>
        <v>General</v>
      </c>
      <c r="G106" s="143">
        <f>IFERROR(__xludf.DUMMYFUNCTION("""COMPUTED_VALUE"""),0.04920138888888889)</f>
        <v>0.04920138889</v>
      </c>
      <c r="H106" s="151"/>
      <c r="I106" s="154"/>
      <c r="J106" s="154"/>
      <c r="K106" s="154"/>
      <c r="L106" s="147"/>
      <c r="M106" s="159"/>
      <c r="N106" s="147"/>
      <c r="O106" s="141"/>
      <c r="P106" s="143"/>
      <c r="Q106" s="151"/>
      <c r="R106" s="154"/>
      <c r="S106" s="154"/>
    </row>
    <row r="107" ht="33.75" customHeight="1">
      <c r="A107" s="154"/>
      <c r="B107" s="154"/>
      <c r="C107" s="147">
        <f>IFERROR(__xludf.DUMMYFUNCTION("""COMPUTED_VALUE"""),2832037.0)</f>
        <v>2832037</v>
      </c>
      <c r="D107" s="150" t="str">
        <f>IFERROR(__xludf.DUMMYFUNCTION("""COMPUTED_VALUE"""),"Leading in Crisis")</f>
        <v>Leading in Crisis</v>
      </c>
      <c r="E107" s="147" t="str">
        <f>IFERROR(__xludf.DUMMYFUNCTION("""COMPUTED_VALUE"""),"General")</f>
        <v>General</v>
      </c>
      <c r="F107" s="141" t="str">
        <f>IFERROR(__xludf.DUMMYFUNCTION("""COMPUTED_VALUE"""),"General")</f>
        <v>General</v>
      </c>
      <c r="G107" s="143">
        <f>IFERROR(__xludf.DUMMYFUNCTION("""COMPUTED_VALUE"""),0.012650462962962962)</f>
        <v>0.01265046296</v>
      </c>
      <c r="H107" s="151"/>
      <c r="I107" s="154"/>
      <c r="J107" s="154"/>
      <c r="K107" s="154"/>
      <c r="L107" s="147"/>
      <c r="M107" s="159"/>
      <c r="N107" s="147"/>
      <c r="O107" s="141"/>
      <c r="P107" s="143"/>
      <c r="Q107" s="151"/>
      <c r="R107" s="154"/>
      <c r="S107" s="154"/>
    </row>
    <row r="108" ht="33.75" customHeight="1">
      <c r="A108" s="154"/>
      <c r="B108" s="154"/>
      <c r="C108" s="147">
        <f>IFERROR(__xludf.DUMMYFUNCTION("""COMPUTED_VALUE"""),2839075.0)</f>
        <v>2839075</v>
      </c>
      <c r="D108" s="150" t="str">
        <f>IFERROR(__xludf.DUMMYFUNCTION("""COMPUTED_VALUE"""),"The Fearless Organization (Blinkist Summary)")</f>
        <v>The Fearless Organization (Blinkist Summary)</v>
      </c>
      <c r="E108" s="147" t="str">
        <f>IFERROR(__xludf.DUMMYFUNCTION("""COMPUTED_VALUE"""),"General")</f>
        <v>General</v>
      </c>
      <c r="F108" s="141" t="str">
        <f>IFERROR(__xludf.DUMMYFUNCTION("""COMPUTED_VALUE"""),"General")</f>
        <v>General</v>
      </c>
      <c r="G108" s="143">
        <f>IFERROR(__xludf.DUMMYFUNCTION("""COMPUTED_VALUE"""),0.013599537037037037)</f>
        <v>0.01359953704</v>
      </c>
      <c r="H108" s="151"/>
      <c r="I108" s="154"/>
      <c r="J108" s="154"/>
      <c r="K108" s="154"/>
      <c r="L108" s="147"/>
      <c r="M108" s="159"/>
      <c r="N108" s="147"/>
      <c r="O108" s="141"/>
      <c r="P108" s="143"/>
      <c r="Q108" s="151"/>
      <c r="R108" s="154"/>
      <c r="S108" s="154"/>
    </row>
    <row r="109" ht="33.75" customHeight="1">
      <c r="A109" s="154"/>
      <c r="B109" s="154"/>
      <c r="C109" s="147">
        <f>IFERROR(__xludf.DUMMYFUNCTION("""COMPUTED_VALUE"""),2849031.0)</f>
        <v>2849031</v>
      </c>
      <c r="D109" s="150" t="str">
        <f>IFERROR(__xludf.DUMMYFUNCTION("""COMPUTED_VALUE"""),"What's Next: Reinventing Work in the New Normal")</f>
        <v>What's Next: Reinventing Work in the New Normal</v>
      </c>
      <c r="E109" s="147" t="str">
        <f>IFERROR(__xludf.DUMMYFUNCTION("""COMPUTED_VALUE"""),"General")</f>
        <v>General</v>
      </c>
      <c r="F109" s="141" t="str">
        <f>IFERROR(__xludf.DUMMYFUNCTION("""COMPUTED_VALUE"""),"General")</f>
        <v>General</v>
      </c>
      <c r="G109" s="143">
        <f>IFERROR(__xludf.DUMMYFUNCTION("""COMPUTED_VALUE"""),0.07090277777777777)</f>
        <v>0.07090277778</v>
      </c>
      <c r="H109" s="151"/>
      <c r="I109" s="154"/>
      <c r="J109" s="154"/>
      <c r="K109" s="154"/>
      <c r="L109" s="147"/>
      <c r="M109" s="159"/>
      <c r="N109" s="147"/>
      <c r="O109" s="141"/>
      <c r="P109" s="143"/>
      <c r="Q109" s="151"/>
      <c r="R109" s="154"/>
      <c r="S109" s="154"/>
    </row>
    <row r="110" ht="33.75" customHeight="1">
      <c r="A110" s="154"/>
      <c r="B110" s="154"/>
      <c r="C110" s="147">
        <f>IFERROR(__xludf.DUMMYFUNCTION("""COMPUTED_VALUE"""),2800408.0)</f>
        <v>2800408</v>
      </c>
      <c r="D110" s="150" t="str">
        <f>IFERROR(__xludf.DUMMYFUNCTION("""COMPUTED_VALUE"""),"Leadership in Tech")</f>
        <v>Leadership in Tech</v>
      </c>
      <c r="E110" s="147" t="str">
        <f>IFERROR(__xludf.DUMMYFUNCTION("""COMPUTED_VALUE"""),"General")</f>
        <v>General</v>
      </c>
      <c r="F110" s="141" t="str">
        <f>IFERROR(__xludf.DUMMYFUNCTION("""COMPUTED_VALUE"""),"General")</f>
        <v>General</v>
      </c>
      <c r="G110" s="143">
        <f>IFERROR(__xludf.DUMMYFUNCTION("""COMPUTED_VALUE"""),0.04358796296296296)</f>
        <v>0.04358796296</v>
      </c>
      <c r="H110" s="151"/>
      <c r="I110" s="154"/>
      <c r="J110" s="154"/>
      <c r="K110" s="154"/>
      <c r="L110" s="147"/>
      <c r="M110" s="159"/>
      <c r="N110" s="147"/>
      <c r="O110" s="141"/>
      <c r="P110" s="143"/>
      <c r="Q110" s="151"/>
      <c r="R110" s="154"/>
      <c r="S110" s="154"/>
    </row>
    <row r="111" ht="33.75" customHeight="1">
      <c r="A111" s="154"/>
      <c r="B111" s="154"/>
      <c r="C111" s="147">
        <f>IFERROR(__xludf.DUMMYFUNCTION("""COMPUTED_VALUE"""),2841066.0)</f>
        <v>2841066</v>
      </c>
      <c r="D111" s="150" t="str">
        <f>IFERROR(__xludf.DUMMYFUNCTION("""COMPUTED_VALUE"""),"Communicating Internally during Times of Uncertainty")</f>
        <v>Communicating Internally during Times of Uncertainty</v>
      </c>
      <c r="E111" s="147" t="str">
        <f>IFERROR(__xludf.DUMMYFUNCTION("""COMPUTED_VALUE"""),"General")</f>
        <v>General</v>
      </c>
      <c r="F111" s="141" t="str">
        <f>IFERROR(__xludf.DUMMYFUNCTION("""COMPUTED_VALUE"""),"General")</f>
        <v>General</v>
      </c>
      <c r="G111" s="143">
        <f>IFERROR(__xludf.DUMMYFUNCTION("""COMPUTED_VALUE"""),0.021770833333333333)</f>
        <v>0.02177083333</v>
      </c>
      <c r="H111" s="151"/>
      <c r="I111" s="154"/>
      <c r="J111" s="154"/>
      <c r="K111" s="154"/>
      <c r="L111" s="147"/>
      <c r="M111" s="159"/>
      <c r="N111" s="147"/>
      <c r="O111" s="141"/>
      <c r="P111" s="143"/>
      <c r="Q111" s="151"/>
      <c r="R111" s="154"/>
      <c r="S111" s="154"/>
    </row>
    <row r="112" ht="33.75" customHeight="1">
      <c r="A112" s="154"/>
      <c r="B112" s="154"/>
      <c r="C112" s="147">
        <f>IFERROR(__xludf.DUMMYFUNCTION("""COMPUTED_VALUE"""),2894042.0)</f>
        <v>2894042</v>
      </c>
      <c r="D112" s="150" t="str">
        <f>IFERROR(__xludf.DUMMYFUNCTION("""COMPUTED_VALUE"""),"Redesigning How We Work in 2021")</f>
        <v>Redesigning How We Work in 2021</v>
      </c>
      <c r="E112" s="147" t="str">
        <f>IFERROR(__xludf.DUMMYFUNCTION("""COMPUTED_VALUE"""),"General")</f>
        <v>General</v>
      </c>
      <c r="F112" s="141" t="str">
        <f>IFERROR(__xludf.DUMMYFUNCTION("""COMPUTED_VALUE"""),"General")</f>
        <v>General</v>
      </c>
      <c r="G112" s="143">
        <f>IFERROR(__xludf.DUMMYFUNCTION("""COMPUTED_VALUE"""),0.021527777777777778)</f>
        <v>0.02152777778</v>
      </c>
      <c r="H112" s="151"/>
      <c r="I112" s="154"/>
      <c r="J112" s="154"/>
      <c r="K112" s="154"/>
      <c r="L112" s="147"/>
      <c r="M112" s="159"/>
      <c r="N112" s="147"/>
      <c r="O112" s="141"/>
      <c r="P112" s="143"/>
      <c r="Q112" s="151"/>
      <c r="R112" s="154"/>
      <c r="S112" s="154"/>
    </row>
    <row r="113" ht="33.75" customHeight="1">
      <c r="A113" s="154"/>
      <c r="B113" s="154"/>
      <c r="C113" s="147">
        <f>IFERROR(__xludf.DUMMYFUNCTION("""COMPUTED_VALUE"""),2883251.0)</f>
        <v>2883251</v>
      </c>
      <c r="D113" s="150" t="str">
        <f>IFERROR(__xludf.DUMMYFUNCTION("""COMPUTED_VALUE"""),"Leading with a Heavy Heart")</f>
        <v>Leading with a Heavy Heart</v>
      </c>
      <c r="E113" s="147" t="str">
        <f>IFERROR(__xludf.DUMMYFUNCTION("""COMPUTED_VALUE"""),"General")</f>
        <v>General</v>
      </c>
      <c r="F113" s="141" t="str">
        <f>IFERROR(__xludf.DUMMYFUNCTION("""COMPUTED_VALUE"""),"General")</f>
        <v>General</v>
      </c>
      <c r="G113" s="143">
        <f>IFERROR(__xludf.DUMMYFUNCTION("""COMPUTED_VALUE"""),0.01605324074074074)</f>
        <v>0.01605324074</v>
      </c>
      <c r="H113" s="151"/>
      <c r="I113" s="154"/>
      <c r="J113" s="154"/>
      <c r="K113" s="154"/>
      <c r="L113" s="147"/>
      <c r="M113" s="159"/>
      <c r="N113" s="147"/>
      <c r="O113" s="141"/>
      <c r="P113" s="143"/>
      <c r="Q113" s="151"/>
      <c r="R113" s="154"/>
      <c r="S113" s="154"/>
    </row>
    <row r="114" ht="33.75" customHeight="1">
      <c r="A114" s="154"/>
      <c r="B114" s="154"/>
      <c r="C114" s="147"/>
      <c r="D114" s="159"/>
      <c r="E114" s="147"/>
      <c r="F114" s="141"/>
      <c r="G114" s="143"/>
      <c r="H114" s="151"/>
      <c r="I114" s="154"/>
      <c r="J114" s="154"/>
      <c r="K114" s="154"/>
      <c r="L114" s="147"/>
      <c r="M114" s="159"/>
      <c r="N114" s="147"/>
      <c r="O114" s="141"/>
      <c r="P114" s="143"/>
      <c r="Q114" s="151"/>
      <c r="R114" s="154"/>
      <c r="S114" s="154"/>
    </row>
    <row r="115" ht="33.75" customHeight="1">
      <c r="A115" s="154"/>
      <c r="B115" s="154"/>
      <c r="C115" s="147"/>
      <c r="D115" s="159"/>
      <c r="E115" s="147"/>
      <c r="F115" s="141"/>
      <c r="G115" s="143"/>
      <c r="H115" s="151"/>
      <c r="I115" s="154"/>
      <c r="J115" s="154"/>
      <c r="K115" s="154"/>
      <c r="L115" s="147"/>
      <c r="M115" s="159"/>
      <c r="N115" s="147"/>
      <c r="O115" s="141"/>
      <c r="P115" s="143"/>
      <c r="Q115" s="151"/>
      <c r="R115" s="154"/>
      <c r="S115" s="154"/>
    </row>
    <row r="116" ht="33.75" customHeight="1">
      <c r="A116" s="154"/>
      <c r="B116" s="154"/>
      <c r="C116" s="147"/>
      <c r="D116" s="159"/>
      <c r="E116" s="147"/>
      <c r="F116" s="141"/>
      <c r="G116" s="143"/>
      <c r="H116" s="151"/>
      <c r="I116" s="154"/>
      <c r="J116" s="154"/>
      <c r="K116" s="154"/>
      <c r="L116" s="147"/>
      <c r="M116" s="159"/>
      <c r="N116" s="147"/>
      <c r="O116" s="141"/>
      <c r="P116" s="143"/>
      <c r="Q116" s="151"/>
      <c r="R116" s="154"/>
      <c r="S116" s="154"/>
    </row>
    <row r="117" ht="33.75" customHeight="1">
      <c r="A117" s="154"/>
      <c r="B117" s="154"/>
      <c r="C117" s="147"/>
      <c r="D117" s="159"/>
      <c r="E117" s="147"/>
      <c r="F117" s="141"/>
      <c r="G117" s="143"/>
      <c r="H117" s="151"/>
      <c r="I117" s="154"/>
      <c r="J117" s="154"/>
      <c r="K117" s="154"/>
      <c r="L117" s="147"/>
      <c r="M117" s="159"/>
      <c r="N117" s="147"/>
      <c r="O117" s="141"/>
      <c r="P117" s="143"/>
      <c r="Q117" s="151"/>
      <c r="R117" s="154"/>
      <c r="S117" s="154"/>
    </row>
    <row r="118" ht="33.75" customHeight="1">
      <c r="A118" s="154"/>
      <c r="B118" s="154"/>
      <c r="C118" s="147"/>
      <c r="D118" s="159"/>
      <c r="E118" s="147"/>
      <c r="F118" s="141"/>
      <c r="G118" s="143"/>
      <c r="H118" s="151"/>
      <c r="I118" s="154"/>
      <c r="J118" s="154"/>
      <c r="K118" s="154"/>
      <c r="L118" s="147"/>
      <c r="M118" s="159"/>
      <c r="N118" s="147"/>
      <c r="O118" s="141"/>
      <c r="P118" s="143"/>
      <c r="Q118" s="151"/>
      <c r="R118" s="154"/>
      <c r="S118" s="154"/>
    </row>
    <row r="119" ht="33.75" customHeight="1">
      <c r="A119" s="154"/>
      <c r="B119" s="154"/>
      <c r="C119" s="147"/>
      <c r="D119" s="159"/>
      <c r="E119" s="147"/>
      <c r="F119" s="141"/>
      <c r="G119" s="143"/>
      <c r="H119" s="151"/>
      <c r="I119" s="154"/>
      <c r="J119" s="154"/>
      <c r="K119" s="154"/>
      <c r="L119" s="147"/>
      <c r="M119" s="159"/>
      <c r="N119" s="147"/>
      <c r="O119" s="141"/>
      <c r="P119" s="143"/>
      <c r="Q119" s="151"/>
      <c r="R119" s="154"/>
      <c r="S119" s="154"/>
    </row>
    <row r="120" ht="33.75" customHeight="1">
      <c r="A120" s="154"/>
      <c r="B120" s="154"/>
      <c r="C120" s="147"/>
      <c r="D120" s="159"/>
      <c r="E120" s="147"/>
      <c r="F120" s="141"/>
      <c r="G120" s="143"/>
      <c r="H120" s="151"/>
      <c r="I120" s="154"/>
      <c r="J120" s="154"/>
      <c r="K120" s="154"/>
      <c r="L120" s="147"/>
      <c r="M120" s="159"/>
      <c r="N120" s="147"/>
      <c r="O120" s="141"/>
      <c r="P120" s="143"/>
      <c r="Q120" s="151"/>
      <c r="R120" s="154"/>
      <c r="S120" s="154"/>
    </row>
    <row r="121" ht="33.75" customHeight="1">
      <c r="A121" s="154"/>
      <c r="B121" s="154"/>
      <c r="C121" s="147"/>
      <c r="D121" s="159"/>
      <c r="E121" s="147"/>
      <c r="F121" s="141"/>
      <c r="G121" s="143"/>
      <c r="H121" s="151"/>
      <c r="I121" s="154"/>
      <c r="J121" s="154"/>
      <c r="K121" s="154"/>
      <c r="L121" s="147"/>
      <c r="M121" s="159"/>
      <c r="N121" s="147"/>
      <c r="O121" s="141"/>
      <c r="P121" s="143"/>
      <c r="Q121" s="151"/>
      <c r="R121" s="154"/>
      <c r="S121" s="154"/>
    </row>
    <row r="122" ht="33.75" customHeight="1">
      <c r="A122" s="154"/>
      <c r="B122" s="154"/>
      <c r="C122" s="147"/>
      <c r="D122" s="159"/>
      <c r="E122" s="147"/>
      <c r="F122" s="141"/>
      <c r="G122" s="143"/>
      <c r="H122" s="151"/>
      <c r="I122" s="154"/>
      <c r="J122" s="154"/>
      <c r="K122" s="154"/>
      <c r="L122" s="147"/>
      <c r="M122" s="159"/>
      <c r="N122" s="147"/>
      <c r="O122" s="141"/>
      <c r="P122" s="143"/>
      <c r="Q122" s="151"/>
      <c r="R122" s="154"/>
      <c r="S122" s="154"/>
    </row>
    <row r="123" ht="33.75" customHeight="1">
      <c r="A123" s="154"/>
      <c r="B123" s="154"/>
      <c r="C123" s="147"/>
      <c r="D123" s="159"/>
      <c r="E123" s="147"/>
      <c r="F123" s="141"/>
      <c r="G123" s="143"/>
      <c r="H123" s="151"/>
      <c r="I123" s="154"/>
      <c r="J123" s="154"/>
      <c r="K123" s="154"/>
      <c r="L123" s="147"/>
      <c r="M123" s="159"/>
      <c r="N123" s="147"/>
      <c r="O123" s="141"/>
      <c r="P123" s="143"/>
      <c r="Q123" s="151"/>
      <c r="R123" s="154"/>
      <c r="S123" s="154"/>
    </row>
    <row r="124" ht="33.75" customHeight="1">
      <c r="A124" s="154"/>
      <c r="B124" s="154"/>
      <c r="C124" s="147"/>
      <c r="D124" s="159"/>
      <c r="E124" s="147"/>
      <c r="F124" s="141"/>
      <c r="G124" s="143"/>
      <c r="H124" s="151"/>
      <c r="I124" s="154"/>
      <c r="J124" s="154"/>
      <c r="K124" s="154"/>
      <c r="L124" s="147"/>
      <c r="M124" s="159"/>
      <c r="N124" s="147"/>
      <c r="O124" s="141"/>
      <c r="P124" s="143"/>
      <c r="Q124" s="151"/>
      <c r="R124" s="154"/>
      <c r="S124" s="154"/>
    </row>
    <row r="125" ht="33.75" customHeight="1">
      <c r="A125" s="154"/>
      <c r="B125" s="154"/>
      <c r="C125" s="147"/>
      <c r="D125" s="159"/>
      <c r="E125" s="147"/>
      <c r="F125" s="141"/>
      <c r="G125" s="143"/>
      <c r="H125" s="151"/>
      <c r="I125" s="154"/>
      <c r="J125" s="154"/>
      <c r="K125" s="154"/>
      <c r="L125" s="147"/>
      <c r="M125" s="159"/>
      <c r="N125" s="147"/>
      <c r="O125" s="141"/>
      <c r="P125" s="143"/>
      <c r="Q125" s="151"/>
      <c r="R125" s="154"/>
      <c r="S125" s="154"/>
    </row>
    <row r="126" ht="33.75" customHeight="1">
      <c r="A126" s="154"/>
      <c r="B126" s="154"/>
      <c r="C126" s="147"/>
      <c r="D126" s="159"/>
      <c r="E126" s="147"/>
      <c r="F126" s="141"/>
      <c r="G126" s="143"/>
      <c r="H126" s="151"/>
      <c r="I126" s="154"/>
      <c r="J126" s="154"/>
      <c r="K126" s="154"/>
      <c r="L126" s="147"/>
      <c r="M126" s="159"/>
      <c r="N126" s="147"/>
      <c r="O126" s="141"/>
      <c r="P126" s="143"/>
      <c r="Q126" s="151"/>
      <c r="R126" s="154"/>
      <c r="S126" s="154"/>
    </row>
    <row r="127" ht="33.75" customHeight="1">
      <c r="A127" s="154"/>
      <c r="B127" s="154"/>
      <c r="C127" s="147"/>
      <c r="D127" s="159"/>
      <c r="E127" s="147"/>
      <c r="F127" s="141"/>
      <c r="G127" s="143"/>
      <c r="H127" s="151"/>
      <c r="I127" s="154"/>
      <c r="J127" s="154"/>
      <c r="K127" s="154"/>
      <c r="L127" s="147"/>
      <c r="M127" s="159"/>
      <c r="N127" s="147"/>
      <c r="O127" s="141"/>
      <c r="P127" s="143"/>
      <c r="Q127" s="151"/>
      <c r="R127" s="154"/>
      <c r="S127" s="154"/>
    </row>
    <row r="128" ht="33.75" customHeight="1">
      <c r="A128" s="154"/>
      <c r="B128" s="154"/>
      <c r="C128" s="147"/>
      <c r="D128" s="159"/>
      <c r="E128" s="147"/>
      <c r="F128" s="141"/>
      <c r="G128" s="143"/>
      <c r="H128" s="151"/>
      <c r="I128" s="154"/>
      <c r="J128" s="154"/>
      <c r="K128" s="154"/>
      <c r="L128" s="147"/>
      <c r="M128" s="159"/>
      <c r="N128" s="147"/>
      <c r="O128" s="141"/>
      <c r="P128" s="143"/>
      <c r="Q128" s="151"/>
      <c r="R128" s="154"/>
      <c r="S128" s="154"/>
    </row>
    <row r="129" ht="33.75" customHeight="1">
      <c r="A129" s="154"/>
      <c r="B129" s="154"/>
      <c r="C129" s="147"/>
      <c r="D129" s="159"/>
      <c r="E129" s="147"/>
      <c r="F129" s="141"/>
      <c r="G129" s="143"/>
      <c r="H129" s="151"/>
      <c r="I129" s="154"/>
      <c r="J129" s="154"/>
      <c r="K129" s="154"/>
      <c r="L129" s="147"/>
      <c r="M129" s="159"/>
      <c r="N129" s="147"/>
      <c r="O129" s="141"/>
      <c r="P129" s="143"/>
      <c r="Q129" s="151"/>
      <c r="R129" s="154"/>
      <c r="S129" s="154"/>
    </row>
    <row r="130" ht="33.75" customHeight="1">
      <c r="A130" s="154"/>
      <c r="B130" s="154"/>
      <c r="C130" s="147"/>
      <c r="D130" s="159"/>
      <c r="E130" s="147"/>
      <c r="F130" s="141"/>
      <c r="G130" s="143"/>
      <c r="H130" s="151"/>
      <c r="I130" s="154"/>
      <c r="J130" s="154"/>
      <c r="K130" s="154"/>
      <c r="L130" s="147"/>
      <c r="M130" s="159"/>
      <c r="N130" s="147"/>
      <c r="O130" s="141"/>
      <c r="P130" s="143"/>
      <c r="Q130" s="151"/>
      <c r="R130" s="154"/>
      <c r="S130" s="154"/>
    </row>
    <row r="131" ht="33.75" customHeight="1">
      <c r="A131" s="154"/>
      <c r="B131" s="154"/>
      <c r="C131" s="147"/>
      <c r="D131" s="159"/>
      <c r="E131" s="147"/>
      <c r="F131" s="141"/>
      <c r="G131" s="143"/>
      <c r="H131" s="151"/>
      <c r="I131" s="154"/>
      <c r="J131" s="154"/>
      <c r="K131" s="154"/>
      <c r="L131" s="147"/>
      <c r="M131" s="159"/>
      <c r="N131" s="147"/>
      <c r="O131" s="141"/>
      <c r="P131" s="143"/>
      <c r="Q131" s="151"/>
      <c r="R131" s="154"/>
      <c r="S131" s="154"/>
    </row>
    <row r="132" ht="33.75" customHeight="1">
      <c r="A132" s="154"/>
      <c r="B132" s="154"/>
      <c r="C132" s="147"/>
      <c r="D132" s="159"/>
      <c r="E132" s="147"/>
      <c r="F132" s="141"/>
      <c r="G132" s="143"/>
      <c r="H132" s="151"/>
      <c r="I132" s="154"/>
      <c r="J132" s="154"/>
      <c r="K132" s="154"/>
      <c r="L132" s="147"/>
      <c r="M132" s="159"/>
      <c r="N132" s="147"/>
      <c r="O132" s="141"/>
      <c r="P132" s="143"/>
      <c r="Q132" s="151"/>
      <c r="R132" s="154"/>
      <c r="S132" s="154"/>
    </row>
    <row r="133" ht="33.75" customHeight="1">
      <c r="A133" s="154"/>
      <c r="B133" s="154"/>
      <c r="C133" s="147"/>
      <c r="D133" s="159"/>
      <c r="E133" s="147"/>
      <c r="F133" s="141"/>
      <c r="G133" s="143"/>
      <c r="H133" s="151"/>
      <c r="I133" s="154"/>
      <c r="J133" s="154"/>
      <c r="K133" s="154"/>
      <c r="L133" s="147"/>
      <c r="M133" s="159"/>
      <c r="N133" s="147"/>
      <c r="O133" s="141"/>
      <c r="P133" s="143"/>
      <c r="Q133" s="151"/>
      <c r="R133" s="154"/>
      <c r="S133" s="154"/>
    </row>
    <row r="134" ht="33.75" customHeight="1">
      <c r="A134" s="154"/>
      <c r="B134" s="154"/>
      <c r="C134" s="147"/>
      <c r="D134" s="159"/>
      <c r="E134" s="147"/>
      <c r="F134" s="141"/>
      <c r="G134" s="143"/>
      <c r="H134" s="151"/>
      <c r="I134" s="154"/>
      <c r="J134" s="154"/>
      <c r="K134" s="154"/>
      <c r="L134" s="147"/>
      <c r="M134" s="159"/>
      <c r="N134" s="147"/>
      <c r="O134" s="141"/>
      <c r="P134" s="143"/>
      <c r="Q134" s="151"/>
      <c r="R134" s="154"/>
      <c r="S134" s="154"/>
    </row>
    <row r="135" ht="33.75" customHeight="1">
      <c r="A135" s="154"/>
      <c r="B135" s="154"/>
      <c r="C135" s="147"/>
      <c r="D135" s="159"/>
      <c r="E135" s="147"/>
      <c r="F135" s="141"/>
      <c r="G135" s="143"/>
      <c r="H135" s="151"/>
      <c r="I135" s="154"/>
      <c r="J135" s="154"/>
      <c r="K135" s="154"/>
      <c r="L135" s="147"/>
      <c r="M135" s="159"/>
      <c r="N135" s="147"/>
      <c r="O135" s="141"/>
      <c r="P135" s="143"/>
      <c r="Q135" s="151"/>
      <c r="R135" s="154"/>
      <c r="S135" s="154"/>
    </row>
    <row r="136" ht="33.75" customHeight="1">
      <c r="A136" s="154"/>
      <c r="B136" s="154"/>
      <c r="C136" s="147"/>
      <c r="D136" s="159"/>
      <c r="E136" s="147"/>
      <c r="F136" s="141"/>
      <c r="G136" s="143"/>
      <c r="H136" s="151"/>
      <c r="I136" s="154"/>
      <c r="J136" s="154"/>
      <c r="K136" s="154"/>
      <c r="L136" s="147"/>
      <c r="M136" s="159"/>
      <c r="N136" s="147"/>
      <c r="O136" s="141"/>
      <c r="P136" s="143"/>
      <c r="Q136" s="151"/>
      <c r="R136" s="154"/>
      <c r="S136" s="154"/>
    </row>
    <row r="137" ht="33.75" customHeight="1">
      <c r="A137" s="154"/>
      <c r="B137" s="154"/>
      <c r="C137" s="147"/>
      <c r="D137" s="159"/>
      <c r="E137" s="147"/>
      <c r="F137" s="141"/>
      <c r="G137" s="143"/>
      <c r="H137" s="151"/>
      <c r="I137" s="154"/>
      <c r="J137" s="154"/>
      <c r="K137" s="154"/>
      <c r="L137" s="147"/>
      <c r="M137" s="159"/>
      <c r="N137" s="147"/>
      <c r="O137" s="141"/>
      <c r="P137" s="143"/>
      <c r="Q137" s="151"/>
      <c r="R137" s="154"/>
      <c r="S137" s="154"/>
    </row>
    <row r="138" ht="33.75" customHeight="1">
      <c r="A138" s="154"/>
      <c r="B138" s="154"/>
      <c r="C138" s="147"/>
      <c r="D138" s="159"/>
      <c r="E138" s="147"/>
      <c r="F138" s="141"/>
      <c r="G138" s="143"/>
      <c r="H138" s="151"/>
      <c r="I138" s="154"/>
      <c r="J138" s="154"/>
      <c r="K138" s="154"/>
      <c r="L138" s="147"/>
      <c r="M138" s="159"/>
      <c r="N138" s="147"/>
      <c r="O138" s="141"/>
      <c r="P138" s="143"/>
      <c r="Q138" s="151"/>
      <c r="R138" s="154"/>
      <c r="S138" s="154"/>
    </row>
    <row r="139" ht="33.75" customHeight="1">
      <c r="A139" s="154"/>
      <c r="B139" s="154"/>
      <c r="C139" s="147"/>
      <c r="D139" s="159"/>
      <c r="E139" s="147"/>
      <c r="F139" s="141"/>
      <c r="G139" s="143"/>
      <c r="H139" s="151"/>
      <c r="I139" s="154"/>
      <c r="J139" s="154"/>
      <c r="K139" s="154"/>
      <c r="L139" s="147"/>
      <c r="M139" s="159"/>
      <c r="N139" s="147"/>
      <c r="O139" s="141"/>
      <c r="P139" s="143"/>
      <c r="Q139" s="151"/>
      <c r="R139" s="154"/>
      <c r="S139" s="154"/>
    </row>
    <row r="140" ht="33.75" customHeight="1">
      <c r="A140" s="154"/>
      <c r="B140" s="154"/>
      <c r="C140" s="147"/>
      <c r="D140" s="159"/>
      <c r="E140" s="147"/>
      <c r="F140" s="141"/>
      <c r="G140" s="143"/>
      <c r="H140" s="151"/>
      <c r="I140" s="154"/>
      <c r="J140" s="154"/>
      <c r="K140" s="154"/>
      <c r="L140" s="147"/>
      <c r="M140" s="159"/>
      <c r="N140" s="147"/>
      <c r="O140" s="141"/>
      <c r="P140" s="143"/>
      <c r="Q140" s="151"/>
      <c r="R140" s="154"/>
      <c r="S140" s="154"/>
    </row>
    <row r="141" ht="33.75" customHeight="1">
      <c r="A141" s="154"/>
      <c r="B141" s="154"/>
      <c r="C141" s="147"/>
      <c r="D141" s="159"/>
      <c r="E141" s="147"/>
      <c r="F141" s="141"/>
      <c r="G141" s="143"/>
      <c r="H141" s="151"/>
      <c r="I141" s="154"/>
      <c r="J141" s="154"/>
      <c r="K141" s="154"/>
      <c r="L141" s="147"/>
      <c r="M141" s="159"/>
      <c r="N141" s="147"/>
      <c r="O141" s="141"/>
      <c r="P141" s="143"/>
      <c r="Q141" s="151"/>
      <c r="R141" s="154"/>
      <c r="S141" s="154"/>
    </row>
    <row r="142" ht="33.75" customHeight="1">
      <c r="A142" s="154"/>
      <c r="B142" s="154"/>
      <c r="C142" s="147"/>
      <c r="D142" s="159"/>
      <c r="E142" s="147"/>
      <c r="F142" s="141"/>
      <c r="G142" s="143"/>
      <c r="H142" s="151"/>
      <c r="I142" s="154"/>
      <c r="J142" s="154"/>
      <c r="K142" s="154"/>
      <c r="L142" s="147"/>
      <c r="M142" s="159"/>
      <c r="N142" s="147"/>
      <c r="O142" s="141"/>
      <c r="P142" s="143"/>
      <c r="Q142" s="151"/>
      <c r="R142" s="154"/>
      <c r="S142" s="154"/>
    </row>
    <row r="143" ht="33.75" customHeight="1">
      <c r="A143" s="154"/>
      <c r="B143" s="154"/>
      <c r="C143" s="147"/>
      <c r="D143" s="159"/>
      <c r="E143" s="147"/>
      <c r="F143" s="141"/>
      <c r="G143" s="143"/>
      <c r="H143" s="151"/>
      <c r="I143" s="154"/>
      <c r="J143" s="154"/>
      <c r="K143" s="154"/>
      <c r="L143" s="147"/>
      <c r="M143" s="159"/>
      <c r="N143" s="147"/>
      <c r="O143" s="141"/>
      <c r="P143" s="143"/>
      <c r="Q143" s="151"/>
      <c r="R143" s="154"/>
      <c r="S143" s="154"/>
    </row>
    <row r="144" ht="33.75" customHeight="1">
      <c r="A144" s="154"/>
      <c r="B144" s="154"/>
      <c r="C144" s="147"/>
      <c r="D144" s="159"/>
      <c r="E144" s="147"/>
      <c r="F144" s="141"/>
      <c r="G144" s="143"/>
      <c r="H144" s="151"/>
      <c r="I144" s="154"/>
      <c r="J144" s="154"/>
      <c r="K144" s="154"/>
      <c r="L144" s="147"/>
      <c r="M144" s="159"/>
      <c r="N144" s="147"/>
      <c r="O144" s="141"/>
      <c r="P144" s="143"/>
      <c r="Q144" s="151"/>
      <c r="R144" s="154"/>
      <c r="S144" s="154"/>
    </row>
    <row r="145" ht="33.75" customHeight="1">
      <c r="A145" s="154"/>
      <c r="B145" s="154"/>
      <c r="C145" s="147"/>
      <c r="D145" s="159"/>
      <c r="E145" s="147"/>
      <c r="F145" s="141"/>
      <c r="G145" s="143"/>
      <c r="H145" s="151"/>
      <c r="I145" s="154"/>
      <c r="J145" s="154"/>
      <c r="K145" s="154"/>
      <c r="L145" s="147"/>
      <c r="M145" s="159"/>
      <c r="N145" s="147"/>
      <c r="O145" s="141"/>
      <c r="P145" s="143"/>
      <c r="Q145" s="151"/>
      <c r="R145" s="154"/>
      <c r="S145" s="154"/>
    </row>
    <row r="146" ht="33.75" customHeight="1">
      <c r="A146" s="154"/>
      <c r="B146" s="154"/>
      <c r="C146" s="147"/>
      <c r="D146" s="159"/>
      <c r="E146" s="147"/>
      <c r="F146" s="141"/>
      <c r="G146" s="143"/>
      <c r="H146" s="151"/>
      <c r="I146" s="154"/>
      <c r="J146" s="154"/>
      <c r="K146" s="154"/>
      <c r="L146" s="147"/>
      <c r="M146" s="159"/>
      <c r="N146" s="147"/>
      <c r="O146" s="141"/>
      <c r="P146" s="143"/>
      <c r="Q146" s="151"/>
      <c r="R146" s="154"/>
      <c r="S146" s="154"/>
    </row>
    <row r="147" ht="33.75" customHeight="1">
      <c r="A147" s="154"/>
      <c r="B147" s="154"/>
      <c r="C147" s="147"/>
      <c r="D147" s="159"/>
      <c r="E147" s="147"/>
      <c r="F147" s="141"/>
      <c r="G147" s="143"/>
      <c r="H147" s="151"/>
      <c r="I147" s="154"/>
      <c r="J147" s="154"/>
      <c r="K147" s="154"/>
      <c r="L147" s="147"/>
      <c r="M147" s="159"/>
      <c r="N147" s="147"/>
      <c r="O147" s="141"/>
      <c r="P147" s="143"/>
      <c r="Q147" s="151"/>
      <c r="R147" s="154"/>
      <c r="S147" s="154"/>
    </row>
    <row r="148" ht="33.75" customHeight="1">
      <c r="A148" s="154"/>
      <c r="B148" s="154"/>
      <c r="C148" s="147"/>
      <c r="D148" s="159"/>
      <c r="E148" s="147"/>
      <c r="F148" s="141"/>
      <c r="G148" s="143"/>
      <c r="H148" s="151"/>
      <c r="I148" s="154"/>
      <c r="J148" s="154"/>
      <c r="K148" s="154"/>
      <c r="L148" s="147"/>
      <c r="M148" s="159"/>
      <c r="N148" s="147"/>
      <c r="O148" s="141"/>
      <c r="P148" s="143"/>
      <c r="Q148" s="151"/>
      <c r="R148" s="154"/>
      <c r="S148" s="154"/>
    </row>
    <row r="149" ht="33.75" customHeight="1">
      <c r="A149" s="154"/>
      <c r="B149" s="154"/>
      <c r="C149" s="147"/>
      <c r="D149" s="159"/>
      <c r="E149" s="147"/>
      <c r="F149" s="141"/>
      <c r="G149" s="143"/>
      <c r="H149" s="151"/>
      <c r="I149" s="154"/>
      <c r="J149" s="154"/>
      <c r="K149" s="154"/>
      <c r="L149" s="147"/>
      <c r="M149" s="159"/>
      <c r="N149" s="147"/>
      <c r="O149" s="141"/>
      <c r="P149" s="143"/>
      <c r="Q149" s="151"/>
      <c r="R149" s="154"/>
      <c r="S149" s="154"/>
    </row>
    <row r="150" ht="33.75" customHeight="1">
      <c r="A150" s="154"/>
      <c r="B150" s="154"/>
      <c r="C150" s="147"/>
      <c r="D150" s="159"/>
      <c r="E150" s="147"/>
      <c r="F150" s="141"/>
      <c r="G150" s="143"/>
      <c r="H150" s="151"/>
      <c r="I150" s="154"/>
      <c r="J150" s="154"/>
      <c r="K150" s="154"/>
      <c r="L150" s="147"/>
      <c r="M150" s="159"/>
      <c r="N150" s="147"/>
      <c r="O150" s="141"/>
      <c r="P150" s="143"/>
      <c r="Q150" s="151"/>
      <c r="R150" s="154"/>
      <c r="S150" s="154"/>
    </row>
    <row r="151" ht="33.75" customHeight="1">
      <c r="A151" s="154"/>
      <c r="B151" s="154"/>
      <c r="C151" s="147"/>
      <c r="D151" s="159"/>
      <c r="E151" s="147"/>
      <c r="F151" s="141"/>
      <c r="G151" s="143"/>
      <c r="H151" s="151"/>
      <c r="I151" s="154"/>
      <c r="J151" s="154"/>
      <c r="K151" s="154"/>
      <c r="L151" s="147"/>
      <c r="M151" s="159"/>
      <c r="N151" s="147"/>
      <c r="O151" s="141"/>
      <c r="P151" s="143"/>
      <c r="Q151" s="151"/>
      <c r="R151" s="154"/>
      <c r="S151" s="154"/>
    </row>
    <row r="152" ht="33.75" customHeight="1">
      <c r="A152" s="154"/>
      <c r="B152" s="154"/>
      <c r="C152" s="147"/>
      <c r="D152" s="159"/>
      <c r="E152" s="147"/>
      <c r="F152" s="141"/>
      <c r="G152" s="143"/>
      <c r="H152" s="151"/>
      <c r="I152" s="154"/>
      <c r="J152" s="154"/>
      <c r="K152" s="154"/>
      <c r="L152" s="147"/>
      <c r="M152" s="159"/>
      <c r="N152" s="147"/>
      <c r="O152" s="141"/>
      <c r="P152" s="143"/>
      <c r="Q152" s="151"/>
      <c r="R152" s="154"/>
      <c r="S152" s="154"/>
    </row>
    <row r="153" ht="33.75" customHeight="1">
      <c r="A153" s="154"/>
      <c r="B153" s="154"/>
      <c r="C153" s="147"/>
      <c r="D153" s="159"/>
      <c r="E153" s="147"/>
      <c r="F153" s="141"/>
      <c r="G153" s="143"/>
      <c r="H153" s="151"/>
      <c r="I153" s="154"/>
      <c r="J153" s="154"/>
      <c r="K153" s="154"/>
      <c r="L153" s="147"/>
      <c r="M153" s="159"/>
      <c r="N153" s="147"/>
      <c r="O153" s="141"/>
      <c r="P153" s="143"/>
      <c r="Q153" s="151"/>
      <c r="R153" s="154"/>
      <c r="S153" s="154"/>
    </row>
    <row r="154" ht="33.75" customHeight="1">
      <c r="A154" s="154"/>
      <c r="B154" s="154"/>
      <c r="C154" s="147"/>
      <c r="D154" s="159"/>
      <c r="E154" s="147"/>
      <c r="F154" s="141"/>
      <c r="G154" s="143"/>
      <c r="H154" s="151"/>
      <c r="I154" s="154"/>
      <c r="J154" s="154"/>
      <c r="K154" s="154"/>
      <c r="L154" s="147"/>
      <c r="M154" s="159"/>
      <c r="N154" s="147"/>
      <c r="O154" s="141"/>
      <c r="P154" s="143"/>
      <c r="Q154" s="151"/>
      <c r="R154" s="154"/>
      <c r="S154" s="154"/>
    </row>
    <row r="155" ht="33.75" customHeight="1">
      <c r="A155" s="154"/>
      <c r="B155" s="154"/>
      <c r="C155" s="147"/>
      <c r="D155" s="159"/>
      <c r="E155" s="147"/>
      <c r="F155" s="141"/>
      <c r="G155" s="143"/>
      <c r="H155" s="151"/>
      <c r="I155" s="154"/>
      <c r="J155" s="154"/>
      <c r="K155" s="154"/>
      <c r="L155" s="147"/>
      <c r="M155" s="159"/>
      <c r="N155" s="147"/>
      <c r="O155" s="141"/>
      <c r="P155" s="143"/>
      <c r="Q155" s="151"/>
      <c r="R155" s="154"/>
      <c r="S155" s="154"/>
    </row>
    <row r="156" ht="33.75" customHeight="1">
      <c r="A156" s="154"/>
      <c r="B156" s="154"/>
      <c r="C156" s="147"/>
      <c r="D156" s="159"/>
      <c r="E156" s="147"/>
      <c r="F156" s="141"/>
      <c r="G156" s="143"/>
      <c r="H156" s="151"/>
      <c r="I156" s="154"/>
      <c r="J156" s="154"/>
      <c r="K156" s="154"/>
      <c r="L156" s="147"/>
      <c r="M156" s="159"/>
      <c r="N156" s="147"/>
      <c r="O156" s="141"/>
      <c r="P156" s="143"/>
      <c r="Q156" s="151"/>
      <c r="R156" s="154"/>
      <c r="S156" s="154"/>
    </row>
    <row r="157" ht="33.75" customHeight="1">
      <c r="A157" s="154"/>
      <c r="B157" s="154"/>
      <c r="C157" s="147"/>
      <c r="D157" s="159"/>
      <c r="E157" s="147"/>
      <c r="F157" s="141"/>
      <c r="G157" s="143"/>
      <c r="H157" s="151"/>
      <c r="I157" s="154"/>
      <c r="J157" s="154"/>
      <c r="K157" s="154"/>
      <c r="L157" s="147"/>
      <c r="M157" s="159"/>
      <c r="N157" s="147"/>
      <c r="O157" s="141"/>
      <c r="P157" s="143"/>
      <c r="Q157" s="151"/>
      <c r="R157" s="154"/>
      <c r="S157" s="154"/>
    </row>
    <row r="158" ht="33.75" customHeight="1">
      <c r="A158" s="154"/>
      <c r="B158" s="154"/>
      <c r="C158" s="147"/>
      <c r="D158" s="159"/>
      <c r="E158" s="147"/>
      <c r="F158" s="141"/>
      <c r="G158" s="143"/>
      <c r="H158" s="151"/>
      <c r="I158" s="154"/>
      <c r="J158" s="154"/>
      <c r="K158" s="154"/>
      <c r="L158" s="147"/>
      <c r="M158" s="159"/>
      <c r="N158" s="147"/>
      <c r="O158" s="141"/>
      <c r="P158" s="143"/>
      <c r="Q158" s="151"/>
      <c r="R158" s="154"/>
      <c r="S158" s="154"/>
    </row>
    <row r="159" ht="33.75" customHeight="1">
      <c r="A159" s="154"/>
      <c r="B159" s="154"/>
      <c r="C159" s="147"/>
      <c r="D159" s="159"/>
      <c r="E159" s="147"/>
      <c r="F159" s="141"/>
      <c r="G159" s="143"/>
      <c r="H159" s="151"/>
      <c r="I159" s="154"/>
      <c r="J159" s="154"/>
      <c r="K159" s="154"/>
      <c r="L159" s="147"/>
      <c r="M159" s="159"/>
      <c r="N159" s="147"/>
      <c r="O159" s="141"/>
      <c r="P159" s="143"/>
      <c r="Q159" s="151"/>
      <c r="R159" s="154"/>
      <c r="S159" s="154"/>
    </row>
    <row r="160" ht="33.75" customHeight="1">
      <c r="A160" s="154"/>
      <c r="B160" s="154"/>
      <c r="C160" s="147"/>
      <c r="D160" s="159"/>
      <c r="E160" s="147"/>
      <c r="F160" s="141"/>
      <c r="G160" s="143"/>
      <c r="H160" s="151"/>
      <c r="I160" s="154"/>
      <c r="J160" s="154"/>
      <c r="K160" s="154"/>
      <c r="L160" s="147"/>
      <c r="M160" s="159"/>
      <c r="N160" s="147"/>
      <c r="O160" s="141"/>
      <c r="P160" s="143"/>
      <c r="Q160" s="151"/>
      <c r="R160" s="154"/>
      <c r="S160" s="154"/>
    </row>
    <row r="161" ht="33.75" customHeight="1">
      <c r="A161" s="154"/>
      <c r="B161" s="154"/>
      <c r="C161" s="147"/>
      <c r="D161" s="159"/>
      <c r="E161" s="147"/>
      <c r="F161" s="141"/>
      <c r="G161" s="143"/>
      <c r="H161" s="151"/>
      <c r="I161" s="154"/>
      <c r="J161" s="154"/>
      <c r="K161" s="154"/>
      <c r="L161" s="147"/>
      <c r="M161" s="159"/>
      <c r="N161" s="147"/>
      <c r="O161" s="141"/>
      <c r="P161" s="143"/>
      <c r="Q161" s="151"/>
      <c r="R161" s="154"/>
      <c r="S161" s="154"/>
    </row>
    <row r="162" ht="33.75" customHeight="1">
      <c r="A162" s="154"/>
      <c r="B162" s="154"/>
      <c r="C162" s="147"/>
      <c r="D162" s="159"/>
      <c r="E162" s="147"/>
      <c r="F162" s="141"/>
      <c r="G162" s="143"/>
      <c r="H162" s="151"/>
      <c r="I162" s="154"/>
      <c r="J162" s="154"/>
      <c r="K162" s="154"/>
      <c r="L162" s="147"/>
      <c r="M162" s="159"/>
      <c r="N162" s="147"/>
      <c r="O162" s="141"/>
      <c r="P162" s="143"/>
      <c r="Q162" s="151"/>
      <c r="R162" s="154"/>
      <c r="S162" s="154"/>
    </row>
    <row r="163" ht="33.75" customHeight="1">
      <c r="A163" s="154"/>
      <c r="B163" s="154"/>
      <c r="C163" s="147"/>
      <c r="D163" s="159"/>
      <c r="E163" s="147"/>
      <c r="F163" s="141"/>
      <c r="G163" s="143"/>
      <c r="H163" s="151"/>
      <c r="I163" s="154"/>
      <c r="J163" s="154"/>
      <c r="K163" s="154"/>
      <c r="L163" s="147"/>
      <c r="M163" s="159"/>
      <c r="N163" s="147"/>
      <c r="O163" s="141"/>
      <c r="P163" s="143"/>
      <c r="Q163" s="151"/>
      <c r="R163" s="154"/>
      <c r="S163" s="154"/>
    </row>
    <row r="164" ht="33.75" customHeight="1">
      <c r="A164" s="154"/>
      <c r="B164" s="154"/>
      <c r="C164" s="147"/>
      <c r="D164" s="159"/>
      <c r="E164" s="147"/>
      <c r="F164" s="141"/>
      <c r="G164" s="143"/>
      <c r="H164" s="151"/>
      <c r="I164" s="154"/>
      <c r="J164" s="154"/>
      <c r="K164" s="154"/>
      <c r="L164" s="147"/>
      <c r="M164" s="159"/>
      <c r="N164" s="147"/>
      <c r="O164" s="141"/>
      <c r="P164" s="143"/>
      <c r="Q164" s="151"/>
      <c r="R164" s="154"/>
      <c r="S164" s="154"/>
    </row>
    <row r="165" ht="33.75" customHeight="1">
      <c r="A165" s="154"/>
      <c r="B165" s="154"/>
      <c r="C165" s="147"/>
      <c r="D165" s="159"/>
      <c r="E165" s="147"/>
      <c r="F165" s="141"/>
      <c r="G165" s="143"/>
      <c r="H165" s="151"/>
      <c r="I165" s="154"/>
      <c r="J165" s="154"/>
      <c r="K165" s="154"/>
      <c r="L165" s="147"/>
      <c r="M165" s="159"/>
      <c r="N165" s="147"/>
      <c r="O165" s="141"/>
      <c r="P165" s="143"/>
      <c r="Q165" s="151"/>
      <c r="R165" s="154"/>
      <c r="S165" s="154"/>
    </row>
    <row r="166" ht="33.75" customHeight="1">
      <c r="A166" s="154"/>
      <c r="B166" s="154"/>
      <c r="C166" s="147"/>
      <c r="D166" s="159"/>
      <c r="E166" s="147"/>
      <c r="F166" s="141"/>
      <c r="G166" s="143"/>
      <c r="H166" s="151"/>
      <c r="I166" s="154"/>
      <c r="J166" s="154"/>
      <c r="K166" s="154"/>
      <c r="L166" s="147"/>
      <c r="M166" s="159"/>
      <c r="N166" s="147"/>
      <c r="O166" s="141"/>
      <c r="P166" s="143"/>
      <c r="Q166" s="151"/>
      <c r="R166" s="154"/>
      <c r="S166" s="154"/>
    </row>
    <row r="167" ht="33.75" customHeight="1">
      <c r="A167" s="154"/>
      <c r="B167" s="154"/>
      <c r="C167" s="147"/>
      <c r="D167" s="159"/>
      <c r="E167" s="147"/>
      <c r="F167" s="141"/>
      <c r="G167" s="143"/>
      <c r="H167" s="151"/>
      <c r="I167" s="154"/>
      <c r="J167" s="154"/>
      <c r="K167" s="154"/>
      <c r="L167" s="147"/>
      <c r="M167" s="159"/>
      <c r="N167" s="147"/>
      <c r="O167" s="141"/>
      <c r="P167" s="143"/>
      <c r="Q167" s="151"/>
      <c r="R167" s="154"/>
      <c r="S167" s="154"/>
    </row>
    <row r="168" ht="33.75" customHeight="1">
      <c r="A168" s="154"/>
      <c r="B168" s="154"/>
      <c r="C168" s="147"/>
      <c r="D168" s="159"/>
      <c r="E168" s="147"/>
      <c r="F168" s="141"/>
      <c r="G168" s="143"/>
      <c r="H168" s="151"/>
      <c r="I168" s="154"/>
      <c r="J168" s="154"/>
      <c r="K168" s="154"/>
      <c r="L168" s="147"/>
      <c r="M168" s="159"/>
      <c r="N168" s="147"/>
      <c r="O168" s="141"/>
      <c r="P168" s="143"/>
      <c r="Q168" s="151"/>
      <c r="R168" s="154"/>
      <c r="S168" s="154"/>
    </row>
    <row r="169" ht="33.75" customHeight="1">
      <c r="A169" s="154"/>
      <c r="B169" s="154"/>
      <c r="C169" s="147"/>
      <c r="D169" s="159"/>
      <c r="E169" s="147"/>
      <c r="F169" s="141"/>
      <c r="G169" s="143"/>
      <c r="H169" s="151"/>
      <c r="I169" s="154"/>
      <c r="J169" s="154"/>
      <c r="K169" s="154"/>
      <c r="L169" s="147"/>
      <c r="M169" s="159"/>
      <c r="N169" s="147"/>
      <c r="O169" s="141"/>
      <c r="P169" s="143"/>
      <c r="Q169" s="151"/>
      <c r="R169" s="154"/>
      <c r="S169" s="154"/>
    </row>
    <row r="170" ht="33.75" customHeight="1">
      <c r="A170" s="154"/>
      <c r="B170" s="154"/>
      <c r="C170" s="147"/>
      <c r="D170" s="159"/>
      <c r="E170" s="147"/>
      <c r="F170" s="141"/>
      <c r="G170" s="143"/>
      <c r="H170" s="151"/>
      <c r="I170" s="154"/>
      <c r="J170" s="154"/>
      <c r="K170" s="154"/>
      <c r="L170" s="147"/>
      <c r="M170" s="159"/>
      <c r="N170" s="147"/>
      <c r="O170" s="141"/>
      <c r="P170" s="143"/>
      <c r="Q170" s="151"/>
      <c r="R170" s="154"/>
      <c r="S170" s="154"/>
    </row>
    <row r="171" ht="33.75" customHeight="1">
      <c r="A171" s="154"/>
      <c r="B171" s="154"/>
      <c r="C171" s="147"/>
      <c r="D171" s="159"/>
      <c r="E171" s="147"/>
      <c r="F171" s="141"/>
      <c r="G171" s="143"/>
      <c r="H171" s="151"/>
      <c r="I171" s="154"/>
      <c r="J171" s="154"/>
      <c r="K171" s="154"/>
      <c r="L171" s="147"/>
      <c r="M171" s="159"/>
      <c r="N171" s="147"/>
      <c r="O171" s="141"/>
      <c r="P171" s="143"/>
      <c r="Q171" s="151"/>
      <c r="R171" s="154"/>
      <c r="S171" s="154"/>
    </row>
    <row r="172" ht="33.75" customHeight="1">
      <c r="A172" s="154"/>
      <c r="B172" s="154"/>
      <c r="C172" s="147"/>
      <c r="D172" s="159"/>
      <c r="E172" s="147"/>
      <c r="F172" s="141"/>
      <c r="G172" s="143"/>
      <c r="H172" s="151"/>
      <c r="I172" s="154"/>
      <c r="J172" s="154"/>
      <c r="K172" s="154"/>
      <c r="L172" s="147"/>
      <c r="M172" s="159"/>
      <c r="N172" s="147"/>
      <c r="O172" s="141"/>
      <c r="P172" s="143"/>
      <c r="Q172" s="151"/>
      <c r="R172" s="154"/>
      <c r="S172" s="154"/>
    </row>
    <row r="173" ht="33.75" customHeight="1">
      <c r="A173" s="154"/>
      <c r="B173" s="154"/>
      <c r="C173" s="147"/>
      <c r="D173" s="159"/>
      <c r="E173" s="147"/>
      <c r="F173" s="141"/>
      <c r="G173" s="143"/>
      <c r="H173" s="151"/>
      <c r="I173" s="154"/>
      <c r="J173" s="154"/>
      <c r="K173" s="154"/>
      <c r="L173" s="147"/>
      <c r="M173" s="159"/>
      <c r="N173" s="147"/>
      <c r="O173" s="141"/>
      <c r="P173" s="143"/>
      <c r="Q173" s="151"/>
      <c r="R173" s="154"/>
      <c r="S173" s="154"/>
    </row>
    <row r="174" ht="33.75" customHeight="1">
      <c r="A174" s="154"/>
      <c r="B174" s="154"/>
      <c r="C174" s="147"/>
      <c r="D174" s="159"/>
      <c r="E174" s="147"/>
      <c r="F174" s="141"/>
      <c r="G174" s="143"/>
      <c r="H174" s="151"/>
      <c r="I174" s="154"/>
      <c r="J174" s="154"/>
      <c r="K174" s="154"/>
      <c r="L174" s="147"/>
      <c r="M174" s="159"/>
      <c r="N174" s="147"/>
      <c r="O174" s="141"/>
      <c r="P174" s="143"/>
      <c r="Q174" s="151"/>
      <c r="R174" s="154"/>
      <c r="S174" s="154"/>
    </row>
    <row r="175" ht="33.75" customHeight="1">
      <c r="A175" s="154"/>
      <c r="B175" s="154"/>
      <c r="C175" s="147"/>
      <c r="D175" s="159"/>
      <c r="E175" s="147"/>
      <c r="F175" s="141"/>
      <c r="G175" s="143"/>
      <c r="H175" s="151"/>
      <c r="I175" s="154"/>
      <c r="J175" s="154"/>
      <c r="K175" s="154"/>
      <c r="L175" s="147"/>
      <c r="M175" s="159"/>
      <c r="N175" s="147"/>
      <c r="O175" s="141"/>
      <c r="P175" s="143"/>
      <c r="Q175" s="151"/>
      <c r="R175" s="154"/>
      <c r="S175" s="154"/>
    </row>
    <row r="176" ht="33.75" customHeight="1">
      <c r="A176" s="154"/>
      <c r="B176" s="154"/>
      <c r="C176" s="147"/>
      <c r="D176" s="159"/>
      <c r="E176" s="147"/>
      <c r="F176" s="141"/>
      <c r="G176" s="143"/>
      <c r="H176" s="151"/>
      <c r="I176" s="154"/>
      <c r="J176" s="154"/>
      <c r="K176" s="154"/>
      <c r="L176" s="147"/>
      <c r="M176" s="159"/>
      <c r="N176" s="147"/>
      <c r="O176" s="141"/>
      <c r="P176" s="143"/>
      <c r="Q176" s="151"/>
      <c r="R176" s="154"/>
      <c r="S176" s="154"/>
    </row>
    <row r="177" ht="33.75" customHeight="1">
      <c r="A177" s="154"/>
      <c r="B177" s="154"/>
      <c r="C177" s="147"/>
      <c r="D177" s="159"/>
      <c r="E177" s="147"/>
      <c r="F177" s="141"/>
      <c r="G177" s="143"/>
      <c r="H177" s="151"/>
      <c r="I177" s="154"/>
      <c r="J177" s="154"/>
      <c r="K177" s="154"/>
      <c r="L177" s="147"/>
      <c r="M177" s="159"/>
      <c r="N177" s="147"/>
      <c r="O177" s="141"/>
      <c r="P177" s="143"/>
      <c r="Q177" s="151"/>
      <c r="R177" s="154"/>
      <c r="S177" s="154"/>
    </row>
    <row r="178" ht="33.75" customHeight="1">
      <c r="A178" s="154"/>
      <c r="B178" s="154"/>
      <c r="C178" s="147"/>
      <c r="D178" s="159"/>
      <c r="E178" s="147"/>
      <c r="F178" s="141"/>
      <c r="G178" s="143"/>
      <c r="H178" s="151"/>
      <c r="I178" s="154"/>
      <c r="J178" s="154"/>
      <c r="K178" s="154"/>
      <c r="L178" s="147"/>
      <c r="M178" s="159"/>
      <c r="N178" s="147"/>
      <c r="O178" s="141"/>
      <c r="P178" s="143"/>
      <c r="Q178" s="151"/>
      <c r="R178" s="154"/>
      <c r="S178" s="154"/>
    </row>
    <row r="179" ht="33.75" customHeight="1">
      <c r="A179" s="154"/>
      <c r="B179" s="154"/>
      <c r="C179" s="147"/>
      <c r="D179" s="159"/>
      <c r="E179" s="147"/>
      <c r="F179" s="141"/>
      <c r="G179" s="143"/>
      <c r="H179" s="151"/>
      <c r="I179" s="154"/>
      <c r="J179" s="154"/>
      <c r="K179" s="154"/>
      <c r="L179" s="147"/>
      <c r="M179" s="159"/>
      <c r="N179" s="147"/>
      <c r="O179" s="141"/>
      <c r="P179" s="143"/>
      <c r="Q179" s="151"/>
      <c r="R179" s="154"/>
      <c r="S179" s="154"/>
    </row>
    <row r="180" ht="33.75" customHeight="1">
      <c r="A180" s="154"/>
      <c r="B180" s="154"/>
      <c r="C180" s="147"/>
      <c r="D180" s="159"/>
      <c r="E180" s="147"/>
      <c r="F180" s="141"/>
      <c r="G180" s="143"/>
      <c r="H180" s="151"/>
      <c r="I180" s="154"/>
      <c r="J180" s="154"/>
      <c r="K180" s="154"/>
      <c r="L180" s="147"/>
      <c r="M180" s="159"/>
      <c r="N180" s="147"/>
      <c r="O180" s="141"/>
      <c r="P180" s="143"/>
      <c r="Q180" s="151"/>
      <c r="R180" s="154"/>
      <c r="S180" s="154"/>
    </row>
    <row r="181" ht="33.75" customHeight="1">
      <c r="A181" s="154"/>
      <c r="B181" s="154"/>
      <c r="C181" s="147"/>
      <c r="D181" s="159"/>
      <c r="E181" s="147"/>
      <c r="F181" s="141"/>
      <c r="G181" s="143"/>
      <c r="H181" s="151"/>
      <c r="I181" s="154"/>
      <c r="J181" s="154"/>
      <c r="K181" s="154"/>
      <c r="L181" s="147"/>
      <c r="M181" s="159"/>
      <c r="N181" s="147"/>
      <c r="O181" s="141"/>
      <c r="P181" s="143"/>
      <c r="Q181" s="151"/>
      <c r="R181" s="154"/>
      <c r="S181" s="154"/>
    </row>
    <row r="182" ht="33.75" customHeight="1">
      <c r="A182" s="154"/>
      <c r="B182" s="154"/>
      <c r="C182" s="147"/>
      <c r="D182" s="159"/>
      <c r="E182" s="147"/>
      <c r="F182" s="141"/>
      <c r="G182" s="143"/>
      <c r="H182" s="151"/>
      <c r="I182" s="154"/>
      <c r="J182" s="154"/>
      <c r="K182" s="154"/>
      <c r="L182" s="147"/>
      <c r="M182" s="159"/>
      <c r="N182" s="147"/>
      <c r="O182" s="141"/>
      <c r="P182" s="143"/>
      <c r="Q182" s="151"/>
      <c r="R182" s="154"/>
      <c r="S182" s="154"/>
    </row>
    <row r="183" ht="33.75" customHeight="1">
      <c r="A183" s="154"/>
      <c r="B183" s="154"/>
      <c r="C183" s="147"/>
      <c r="D183" s="159"/>
      <c r="E183" s="147"/>
      <c r="F183" s="141"/>
      <c r="G183" s="143"/>
      <c r="H183" s="151"/>
      <c r="I183" s="154"/>
      <c r="J183" s="154"/>
      <c r="K183" s="154"/>
      <c r="L183" s="147"/>
      <c r="M183" s="159"/>
      <c r="N183" s="147"/>
      <c r="O183" s="141"/>
      <c r="P183" s="143"/>
      <c r="Q183" s="151"/>
      <c r="R183" s="154"/>
      <c r="S183" s="154"/>
    </row>
    <row r="184" ht="33.75" customHeight="1">
      <c r="A184" s="154"/>
      <c r="B184" s="154"/>
      <c r="C184" s="147"/>
      <c r="D184" s="159"/>
      <c r="E184" s="147"/>
      <c r="F184" s="141"/>
      <c r="G184" s="143"/>
      <c r="H184" s="151"/>
      <c r="I184" s="154"/>
      <c r="J184" s="154"/>
      <c r="K184" s="154"/>
      <c r="L184" s="147"/>
      <c r="M184" s="159"/>
      <c r="N184" s="147"/>
      <c r="O184" s="141"/>
      <c r="P184" s="143"/>
      <c r="Q184" s="151"/>
      <c r="R184" s="154"/>
      <c r="S184" s="154"/>
    </row>
    <row r="185">
      <c r="A185" s="154"/>
      <c r="B185" s="154"/>
      <c r="C185" s="155"/>
      <c r="D185" s="156"/>
      <c r="E185" s="155"/>
      <c r="F185" s="155"/>
      <c r="G185" s="155"/>
      <c r="H185" s="157"/>
      <c r="I185" s="154"/>
      <c r="J185" s="154"/>
      <c r="K185" s="154"/>
      <c r="L185" s="155"/>
      <c r="M185" s="156"/>
      <c r="N185" s="155"/>
      <c r="O185" s="155"/>
      <c r="P185" s="155"/>
      <c r="Q185" s="157"/>
      <c r="R185" s="154"/>
      <c r="S185" s="154"/>
    </row>
    <row r="186">
      <c r="A186" s="154"/>
      <c r="B186" s="154"/>
      <c r="C186" s="155"/>
      <c r="D186" s="156"/>
      <c r="E186" s="155"/>
      <c r="F186" s="155"/>
      <c r="G186" s="155"/>
      <c r="H186" s="157"/>
      <c r="I186" s="154"/>
      <c r="J186" s="154"/>
      <c r="K186" s="154"/>
      <c r="L186" s="155"/>
      <c r="M186" s="156"/>
      <c r="N186" s="155"/>
      <c r="O186" s="155"/>
      <c r="P186" s="155"/>
      <c r="Q186" s="157"/>
      <c r="R186" s="154"/>
      <c r="S186" s="154"/>
    </row>
    <row r="187">
      <c r="A187" s="154"/>
      <c r="B187" s="154"/>
      <c r="C187" s="155"/>
      <c r="D187" s="156"/>
      <c r="E187" s="155"/>
      <c r="F187" s="155"/>
      <c r="G187" s="155"/>
      <c r="H187" s="157"/>
      <c r="I187" s="154"/>
      <c r="J187" s="154"/>
      <c r="K187" s="154"/>
      <c r="L187" s="155"/>
      <c r="M187" s="156"/>
      <c r="N187" s="155"/>
      <c r="O187" s="155"/>
      <c r="P187" s="155"/>
      <c r="Q187" s="157"/>
      <c r="R187" s="154"/>
      <c r="S187" s="154"/>
    </row>
    <row r="188">
      <c r="A188" s="154"/>
      <c r="B188" s="154"/>
      <c r="C188" s="155"/>
      <c r="D188" s="156"/>
      <c r="E188" s="155"/>
      <c r="F188" s="155"/>
      <c r="G188" s="155"/>
      <c r="H188" s="157"/>
      <c r="I188" s="154"/>
      <c r="J188" s="154"/>
      <c r="K188" s="154"/>
      <c r="L188" s="155"/>
      <c r="M188" s="156"/>
      <c r="N188" s="155"/>
      <c r="O188" s="155"/>
      <c r="P188" s="155"/>
      <c r="Q188" s="157"/>
      <c r="R188" s="154"/>
      <c r="S188" s="154"/>
    </row>
    <row r="189">
      <c r="A189" s="154"/>
      <c r="B189" s="154"/>
      <c r="C189" s="155"/>
      <c r="D189" s="156"/>
      <c r="E189" s="155"/>
      <c r="F189" s="155"/>
      <c r="G189" s="155"/>
      <c r="H189" s="157"/>
      <c r="I189" s="154"/>
      <c r="J189" s="154"/>
      <c r="K189" s="154"/>
      <c r="L189" s="155"/>
      <c r="M189" s="156"/>
      <c r="N189" s="155"/>
      <c r="O189" s="155"/>
      <c r="P189" s="155"/>
      <c r="Q189" s="157"/>
      <c r="R189" s="154"/>
      <c r="S189" s="154"/>
    </row>
    <row r="190">
      <c r="A190" s="154"/>
      <c r="B190" s="154"/>
      <c r="C190" s="155"/>
      <c r="D190" s="156"/>
      <c r="E190" s="155"/>
      <c r="F190" s="155"/>
      <c r="G190" s="155"/>
      <c r="H190" s="157"/>
      <c r="I190" s="154"/>
      <c r="J190" s="154"/>
      <c r="K190" s="154"/>
      <c r="L190" s="155"/>
      <c r="M190" s="156"/>
      <c r="N190" s="155"/>
      <c r="O190" s="155"/>
      <c r="P190" s="155"/>
      <c r="Q190" s="157"/>
      <c r="R190" s="154"/>
      <c r="S190" s="154"/>
    </row>
    <row r="191">
      <c r="A191" s="154"/>
      <c r="B191" s="154"/>
      <c r="C191" s="155"/>
      <c r="D191" s="156"/>
      <c r="E191" s="155"/>
      <c r="F191" s="155"/>
      <c r="G191" s="155"/>
      <c r="H191" s="157"/>
      <c r="I191" s="154"/>
      <c r="J191" s="154"/>
      <c r="K191" s="154"/>
      <c r="L191" s="155"/>
      <c r="M191" s="156"/>
      <c r="N191" s="155"/>
      <c r="O191" s="155"/>
      <c r="P191" s="155"/>
      <c r="Q191" s="157"/>
      <c r="R191" s="154"/>
      <c r="S191" s="154"/>
    </row>
    <row r="192">
      <c r="A192" s="154"/>
      <c r="B192" s="154"/>
      <c r="C192" s="155"/>
      <c r="D192" s="156"/>
      <c r="E192" s="155"/>
      <c r="F192" s="155"/>
      <c r="G192" s="155"/>
      <c r="H192" s="157"/>
      <c r="I192" s="154"/>
      <c r="J192" s="154"/>
      <c r="K192" s="154"/>
      <c r="L192" s="155"/>
      <c r="M192" s="156"/>
      <c r="N192" s="155"/>
      <c r="O192" s="155"/>
      <c r="P192" s="155"/>
      <c r="Q192" s="157"/>
      <c r="R192" s="154"/>
      <c r="S192" s="154"/>
    </row>
    <row r="193">
      <c r="A193" s="154"/>
      <c r="B193" s="154"/>
      <c r="C193" s="155"/>
      <c r="D193" s="156"/>
      <c r="E193" s="155"/>
      <c r="F193" s="155"/>
      <c r="G193" s="155"/>
      <c r="H193" s="157"/>
      <c r="I193" s="154"/>
      <c r="J193" s="154"/>
      <c r="K193" s="154"/>
      <c r="L193" s="155"/>
      <c r="M193" s="156"/>
      <c r="N193" s="155"/>
      <c r="O193" s="155"/>
      <c r="P193" s="155"/>
      <c r="Q193" s="157"/>
      <c r="R193" s="154"/>
      <c r="S193" s="154"/>
    </row>
    <row r="194">
      <c r="A194" s="154"/>
      <c r="B194" s="154"/>
      <c r="C194" s="155"/>
      <c r="D194" s="156"/>
      <c r="E194" s="155"/>
      <c r="F194" s="155"/>
      <c r="G194" s="155"/>
      <c r="H194" s="157"/>
      <c r="I194" s="154"/>
      <c r="J194" s="154"/>
      <c r="K194" s="154"/>
      <c r="L194" s="155"/>
      <c r="M194" s="156"/>
      <c r="N194" s="155"/>
      <c r="O194" s="155"/>
      <c r="P194" s="155"/>
      <c r="Q194" s="157"/>
      <c r="R194" s="154"/>
      <c r="S194" s="154"/>
    </row>
    <row r="195">
      <c r="A195" s="154"/>
      <c r="B195" s="154"/>
      <c r="C195" s="155"/>
      <c r="D195" s="156"/>
      <c r="E195" s="155"/>
      <c r="F195" s="155"/>
      <c r="G195" s="155"/>
      <c r="H195" s="157"/>
      <c r="I195" s="154"/>
      <c r="J195" s="154"/>
      <c r="K195" s="154"/>
      <c r="L195" s="155"/>
      <c r="M195" s="156"/>
      <c r="N195" s="155"/>
      <c r="O195" s="155"/>
      <c r="P195" s="155"/>
      <c r="Q195" s="157"/>
      <c r="R195" s="154"/>
      <c r="S195" s="154"/>
    </row>
    <row r="196">
      <c r="A196" s="154"/>
      <c r="B196" s="154"/>
      <c r="C196" s="155"/>
      <c r="D196" s="156"/>
      <c r="E196" s="155"/>
      <c r="F196" s="155"/>
      <c r="G196" s="155"/>
      <c r="H196" s="157"/>
      <c r="I196" s="154"/>
      <c r="J196" s="154"/>
      <c r="K196" s="154"/>
      <c r="L196" s="155"/>
      <c r="M196" s="156"/>
      <c r="N196" s="155"/>
      <c r="O196" s="155"/>
      <c r="P196" s="155"/>
      <c r="Q196" s="157"/>
      <c r="R196" s="154"/>
      <c r="S196" s="154"/>
    </row>
    <row r="197">
      <c r="A197" s="154"/>
      <c r="B197" s="154"/>
      <c r="C197" s="155"/>
      <c r="D197" s="156"/>
      <c r="E197" s="155"/>
      <c r="F197" s="155"/>
      <c r="G197" s="155"/>
      <c r="H197" s="157"/>
      <c r="I197" s="154"/>
      <c r="J197" s="154"/>
      <c r="K197" s="154"/>
      <c r="L197" s="155"/>
      <c r="M197" s="156"/>
      <c r="N197" s="155"/>
      <c r="O197" s="155"/>
      <c r="P197" s="155"/>
      <c r="Q197" s="157"/>
      <c r="R197" s="154"/>
      <c r="S197" s="154"/>
    </row>
    <row r="198">
      <c r="A198" s="154"/>
      <c r="B198" s="154"/>
      <c r="C198" s="155"/>
      <c r="D198" s="156"/>
      <c r="E198" s="155"/>
      <c r="F198" s="155"/>
      <c r="G198" s="155"/>
      <c r="H198" s="157"/>
      <c r="I198" s="154"/>
      <c r="J198" s="154"/>
      <c r="K198" s="154"/>
      <c r="L198" s="155"/>
      <c r="M198" s="156"/>
      <c r="N198" s="155"/>
      <c r="O198" s="155"/>
      <c r="P198" s="155"/>
      <c r="Q198" s="157"/>
      <c r="R198" s="154"/>
      <c r="S198" s="154"/>
    </row>
    <row r="199">
      <c r="A199" s="154"/>
      <c r="B199" s="154"/>
      <c r="C199" s="155"/>
      <c r="D199" s="156"/>
      <c r="E199" s="155"/>
      <c r="F199" s="155"/>
      <c r="G199" s="155"/>
      <c r="H199" s="157"/>
      <c r="I199" s="154"/>
      <c r="J199" s="154"/>
      <c r="K199" s="154"/>
      <c r="L199" s="155"/>
      <c r="M199" s="156"/>
      <c r="N199" s="155"/>
      <c r="O199" s="155"/>
      <c r="P199" s="155"/>
      <c r="Q199" s="157"/>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row r="591">
      <c r="A591" s="154"/>
      <c r="B591" s="154"/>
      <c r="C591" s="155"/>
      <c r="D591" s="156"/>
      <c r="E591" s="155"/>
      <c r="F591" s="155"/>
      <c r="G591" s="155"/>
      <c r="H591" s="157"/>
      <c r="I591" s="154"/>
      <c r="J591" s="154"/>
      <c r="K591" s="154"/>
      <c r="L591" s="155"/>
      <c r="M591" s="156"/>
      <c r="N591" s="155"/>
      <c r="O591" s="155"/>
      <c r="P591" s="155"/>
      <c r="Q591" s="157"/>
      <c r="R591" s="154"/>
      <c r="S591" s="154"/>
    </row>
    <row r="592">
      <c r="A592" s="154"/>
      <c r="B592" s="154"/>
      <c r="C592" s="155"/>
      <c r="D592" s="156"/>
      <c r="E592" s="155"/>
      <c r="F592" s="155"/>
      <c r="G592" s="155"/>
      <c r="H592" s="157"/>
      <c r="I592" s="154"/>
      <c r="J592" s="154"/>
      <c r="K592" s="154"/>
      <c r="L592" s="155"/>
      <c r="M592" s="156"/>
      <c r="N592" s="155"/>
      <c r="O592" s="155"/>
      <c r="P592" s="155"/>
      <c r="Q592" s="157"/>
      <c r="R592" s="154"/>
      <c r="S592" s="154"/>
    </row>
    <row r="593">
      <c r="A593" s="154"/>
      <c r="B593" s="154"/>
      <c r="C593" s="155"/>
      <c r="D593" s="156"/>
      <c r="E593" s="155"/>
      <c r="F593" s="155"/>
      <c r="G593" s="155"/>
      <c r="H593" s="157"/>
      <c r="I593" s="154"/>
      <c r="J593" s="154"/>
      <c r="K593" s="154"/>
      <c r="L593" s="155"/>
      <c r="M593" s="156"/>
      <c r="N593" s="155"/>
      <c r="O593" s="155"/>
      <c r="P593" s="155"/>
      <c r="Q593" s="157"/>
      <c r="R593" s="154"/>
      <c r="S593" s="154"/>
    </row>
    <row r="594">
      <c r="A594" s="154"/>
      <c r="B594" s="154"/>
      <c r="C594" s="155"/>
      <c r="D594" s="156"/>
      <c r="E594" s="155"/>
      <c r="F594" s="155"/>
      <c r="G594" s="155"/>
      <c r="H594" s="157"/>
      <c r="I594" s="154"/>
      <c r="J594" s="154"/>
      <c r="K594" s="154"/>
      <c r="L594" s="155"/>
      <c r="M594" s="156"/>
      <c r="N594" s="155"/>
      <c r="O594" s="155"/>
      <c r="P594" s="155"/>
      <c r="Q594" s="157"/>
      <c r="R594" s="154"/>
      <c r="S594" s="154"/>
    </row>
    <row r="595">
      <c r="A595" s="154"/>
      <c r="B595" s="154"/>
      <c r="C595" s="155"/>
      <c r="D595" s="156"/>
      <c r="E595" s="155"/>
      <c r="F595" s="155"/>
      <c r="G595" s="155"/>
      <c r="H595" s="157"/>
      <c r="I595" s="154"/>
      <c r="J595" s="154"/>
      <c r="K595" s="154"/>
      <c r="L595" s="155"/>
      <c r="M595" s="156"/>
      <c r="N595" s="155"/>
      <c r="O595" s="155"/>
      <c r="P595" s="155"/>
      <c r="Q595" s="157"/>
      <c r="R595" s="154"/>
      <c r="S595" s="154"/>
    </row>
    <row r="596">
      <c r="A596" s="154"/>
      <c r="B596" s="154"/>
      <c r="C596" s="155"/>
      <c r="D596" s="156"/>
      <c r="E596" s="155"/>
      <c r="F596" s="155"/>
      <c r="G596" s="155"/>
      <c r="H596" s="157"/>
      <c r="I596" s="154"/>
      <c r="J596" s="154"/>
      <c r="K596" s="154"/>
      <c r="L596" s="155"/>
      <c r="M596" s="156"/>
      <c r="N596" s="155"/>
      <c r="O596" s="155"/>
      <c r="P596" s="155"/>
      <c r="Q596" s="157"/>
      <c r="R596" s="154"/>
      <c r="S596" s="154"/>
    </row>
    <row r="597">
      <c r="A597" s="154"/>
      <c r="B597" s="154"/>
      <c r="C597" s="155"/>
      <c r="D597" s="156"/>
      <c r="E597" s="155"/>
      <c r="F597" s="155"/>
      <c r="G597" s="155"/>
      <c r="H597" s="157"/>
      <c r="I597" s="154"/>
      <c r="J597" s="154"/>
      <c r="K597" s="154"/>
      <c r="L597" s="155"/>
      <c r="M597" s="156"/>
      <c r="N597" s="155"/>
      <c r="O597" s="155"/>
      <c r="P597" s="155"/>
      <c r="Q597" s="157"/>
      <c r="R597" s="154"/>
      <c r="S597" s="154"/>
    </row>
    <row r="598">
      <c r="A598" s="154"/>
      <c r="B598" s="154"/>
      <c r="C598" s="155"/>
      <c r="D598" s="156"/>
      <c r="E598" s="155"/>
      <c r="F598" s="155"/>
      <c r="G598" s="155"/>
      <c r="H598" s="157"/>
      <c r="I598" s="154"/>
      <c r="J598" s="154"/>
      <c r="K598" s="154"/>
      <c r="L598" s="155"/>
      <c r="M598" s="156"/>
      <c r="N598" s="155"/>
      <c r="O598" s="155"/>
      <c r="P598" s="155"/>
      <c r="Q598" s="157"/>
      <c r="R598" s="154"/>
      <c r="S598" s="154"/>
    </row>
    <row r="599">
      <c r="A599" s="154"/>
      <c r="B599" s="154"/>
      <c r="C599" s="155"/>
      <c r="D599" s="156"/>
      <c r="E599" s="155"/>
      <c r="F599" s="155"/>
      <c r="G599" s="155"/>
      <c r="H599" s="157"/>
      <c r="I599" s="154"/>
      <c r="J599" s="154"/>
      <c r="K599" s="154"/>
      <c r="L599" s="155"/>
      <c r="M599" s="156"/>
      <c r="N599" s="155"/>
      <c r="O599" s="155"/>
      <c r="P599" s="155"/>
      <c r="Q599" s="157"/>
      <c r="R599" s="154"/>
      <c r="S599" s="154"/>
    </row>
    <row r="600">
      <c r="A600" s="154"/>
      <c r="B600" s="154"/>
      <c r="C600" s="155"/>
      <c r="D600" s="156"/>
      <c r="E600" s="155"/>
      <c r="F600" s="155"/>
      <c r="G600" s="155"/>
      <c r="H600" s="157"/>
      <c r="I600" s="154"/>
      <c r="J600" s="154"/>
      <c r="K600" s="154"/>
      <c r="L600" s="155"/>
      <c r="M600" s="156"/>
      <c r="N600" s="155"/>
      <c r="O600" s="155"/>
      <c r="P600" s="155"/>
      <c r="Q600" s="157"/>
      <c r="R600" s="154"/>
      <c r="S600" s="154"/>
    </row>
    <row r="601">
      <c r="A601" s="154"/>
      <c r="B601" s="154"/>
      <c r="C601" s="155"/>
      <c r="D601" s="156"/>
      <c r="E601" s="155"/>
      <c r="F601" s="155"/>
      <c r="G601" s="155"/>
      <c r="H601" s="157"/>
      <c r="I601" s="154"/>
      <c r="J601" s="154"/>
      <c r="K601" s="154"/>
      <c r="L601" s="155"/>
      <c r="M601" s="156"/>
      <c r="N601" s="155"/>
      <c r="O601" s="155"/>
      <c r="P601" s="155"/>
      <c r="Q601" s="157"/>
      <c r="R601" s="154"/>
      <c r="S601" s="154"/>
    </row>
    <row r="602">
      <c r="A602" s="154"/>
      <c r="B602" s="154"/>
      <c r="C602" s="155"/>
      <c r="D602" s="156"/>
      <c r="E602" s="155"/>
      <c r="F602" s="155"/>
      <c r="G602" s="155"/>
      <c r="H602" s="157"/>
      <c r="I602" s="154"/>
      <c r="J602" s="154"/>
      <c r="K602" s="154"/>
      <c r="L602" s="155"/>
      <c r="M602" s="156"/>
      <c r="N602" s="155"/>
      <c r="O602" s="155"/>
      <c r="P602" s="155"/>
      <c r="Q602" s="157"/>
      <c r="R602" s="154"/>
      <c r="S602" s="154"/>
    </row>
    <row r="603">
      <c r="A603" s="154"/>
      <c r="B603" s="154"/>
      <c r="C603" s="155"/>
      <c r="D603" s="156"/>
      <c r="E603" s="155"/>
      <c r="F603" s="155"/>
      <c r="G603" s="155"/>
      <c r="H603" s="157"/>
      <c r="I603" s="154"/>
      <c r="J603" s="154"/>
      <c r="K603" s="154"/>
      <c r="L603" s="155"/>
      <c r="M603" s="156"/>
      <c r="N603" s="155"/>
      <c r="O603" s="155"/>
      <c r="P603" s="155"/>
      <c r="Q603" s="157"/>
      <c r="R603" s="154"/>
      <c r="S603" s="154"/>
    </row>
    <row r="604">
      <c r="A604" s="154"/>
      <c r="B604" s="154"/>
      <c r="C604" s="155"/>
      <c r="D604" s="156"/>
      <c r="E604" s="155"/>
      <c r="F604" s="155"/>
      <c r="G604" s="155"/>
      <c r="H604" s="157"/>
      <c r="I604" s="154"/>
      <c r="J604" s="154"/>
      <c r="K604" s="154"/>
      <c r="L604" s="155"/>
      <c r="M604" s="156"/>
      <c r="N604" s="155"/>
      <c r="O604" s="155"/>
      <c r="P604" s="155"/>
      <c r="Q604" s="157"/>
      <c r="R604" s="154"/>
      <c r="S604" s="154"/>
    </row>
    <row r="605">
      <c r="A605" s="154"/>
      <c r="B605" s="154"/>
      <c r="C605" s="155"/>
      <c r="D605" s="156"/>
      <c r="E605" s="155"/>
      <c r="F605" s="155"/>
      <c r="G605" s="155"/>
      <c r="H605" s="157"/>
      <c r="I605" s="154"/>
      <c r="J605" s="154"/>
      <c r="K605" s="154"/>
      <c r="L605" s="155"/>
      <c r="M605" s="156"/>
      <c r="N605" s="155"/>
      <c r="O605" s="155"/>
      <c r="P605" s="155"/>
      <c r="Q605" s="157"/>
      <c r="R605" s="154"/>
      <c r="S605" s="154"/>
    </row>
    <row r="606">
      <c r="A606" s="154"/>
      <c r="B606" s="154"/>
      <c r="C606" s="155"/>
      <c r="D606" s="156"/>
      <c r="E606" s="155"/>
      <c r="F606" s="155"/>
      <c r="G606" s="155"/>
      <c r="H606" s="157"/>
      <c r="I606" s="154"/>
      <c r="J606" s="154"/>
      <c r="K606" s="154"/>
      <c r="L606" s="155"/>
      <c r="M606" s="156"/>
      <c r="N606" s="155"/>
      <c r="O606" s="155"/>
      <c r="P606" s="155"/>
      <c r="Q606" s="157"/>
      <c r="R606" s="154"/>
      <c r="S606" s="154"/>
    </row>
    <row r="607">
      <c r="A607" s="154"/>
      <c r="B607" s="154"/>
      <c r="C607" s="155"/>
      <c r="D607" s="156"/>
      <c r="E607" s="155"/>
      <c r="F607" s="155"/>
      <c r="G607" s="155"/>
      <c r="H607" s="157"/>
      <c r="I607" s="154"/>
      <c r="J607" s="154"/>
      <c r="K607" s="154"/>
      <c r="L607" s="155"/>
      <c r="M607" s="156"/>
      <c r="N607" s="155"/>
      <c r="O607" s="155"/>
      <c r="P607" s="155"/>
      <c r="Q607" s="157"/>
      <c r="R607" s="154"/>
      <c r="S607" s="154"/>
    </row>
    <row r="608">
      <c r="A608" s="154"/>
      <c r="B608" s="154"/>
      <c r="C608" s="155"/>
      <c r="D608" s="156"/>
      <c r="E608" s="155"/>
      <c r="F608" s="155"/>
      <c r="G608" s="155"/>
      <c r="H608" s="157"/>
      <c r="I608" s="154"/>
      <c r="J608" s="154"/>
      <c r="K608" s="154"/>
      <c r="L608" s="155"/>
      <c r="M608" s="156"/>
      <c r="N608" s="155"/>
      <c r="O608" s="155"/>
      <c r="P608" s="155"/>
      <c r="Q608" s="157"/>
      <c r="R608" s="154"/>
      <c r="S608" s="154"/>
    </row>
    <row r="609">
      <c r="A609" s="154"/>
      <c r="B609" s="154"/>
      <c r="C609" s="155"/>
      <c r="D609" s="156"/>
      <c r="E609" s="155"/>
      <c r="F609" s="155"/>
      <c r="G609" s="155"/>
      <c r="H609" s="157"/>
      <c r="I609" s="154"/>
      <c r="J609" s="154"/>
      <c r="K609" s="154"/>
      <c r="L609" s="155"/>
      <c r="M609" s="156"/>
      <c r="N609" s="155"/>
      <c r="O609" s="155"/>
      <c r="P609" s="155"/>
      <c r="Q609" s="157"/>
      <c r="R609" s="154"/>
      <c r="S609" s="154"/>
    </row>
    <row r="610">
      <c r="A610" s="154"/>
      <c r="B610" s="154"/>
      <c r="C610" s="155"/>
      <c r="D610" s="156"/>
      <c r="E610" s="155"/>
      <c r="F610" s="155"/>
      <c r="G610" s="155"/>
      <c r="H610" s="157"/>
      <c r="I610" s="154"/>
      <c r="J610" s="154"/>
      <c r="K610" s="154"/>
      <c r="L610" s="155"/>
      <c r="M610" s="156"/>
      <c r="N610" s="155"/>
      <c r="O610" s="155"/>
      <c r="P610" s="155"/>
      <c r="Q610" s="157"/>
      <c r="R610" s="154"/>
      <c r="S610" s="154"/>
    </row>
    <row r="611">
      <c r="A611" s="154"/>
      <c r="B611" s="154"/>
      <c r="C611" s="155"/>
      <c r="D611" s="156"/>
      <c r="E611" s="155"/>
      <c r="F611" s="155"/>
      <c r="G611" s="155"/>
      <c r="H611" s="157"/>
      <c r="I611" s="154"/>
      <c r="J611" s="154"/>
      <c r="K611" s="154"/>
      <c r="L611" s="155"/>
      <c r="M611" s="156"/>
      <c r="N611" s="155"/>
      <c r="O611" s="155"/>
      <c r="P611" s="155"/>
      <c r="Q611" s="157"/>
      <c r="R611" s="154"/>
      <c r="S611" s="154"/>
    </row>
    <row r="612">
      <c r="A612" s="154"/>
      <c r="B612" s="154"/>
      <c r="C612" s="155"/>
      <c r="D612" s="156"/>
      <c r="E612" s="155"/>
      <c r="F612" s="155"/>
      <c r="G612" s="155"/>
      <c r="H612" s="157"/>
      <c r="I612" s="154"/>
      <c r="J612" s="154"/>
      <c r="K612" s="154"/>
      <c r="L612" s="155"/>
      <c r="M612" s="156"/>
      <c r="N612" s="155"/>
      <c r="O612" s="155"/>
      <c r="P612" s="155"/>
      <c r="Q612" s="157"/>
      <c r="R612" s="154"/>
      <c r="S612" s="154"/>
    </row>
    <row r="613">
      <c r="A613" s="154"/>
      <c r="B613" s="154"/>
      <c r="C613" s="155"/>
      <c r="D613" s="156"/>
      <c r="E613" s="155"/>
      <c r="F613" s="155"/>
      <c r="G613" s="155"/>
      <c r="H613" s="157"/>
      <c r="I613" s="154"/>
      <c r="J613" s="154"/>
      <c r="K613" s="154"/>
      <c r="L613" s="155"/>
      <c r="M613" s="156"/>
      <c r="N613" s="155"/>
      <c r="O613" s="155"/>
      <c r="P613" s="155"/>
      <c r="Q613" s="157"/>
      <c r="R613" s="154"/>
      <c r="S613" s="154"/>
    </row>
    <row r="614">
      <c r="A614" s="154"/>
      <c r="B614" s="154"/>
      <c r="C614" s="155"/>
      <c r="D614" s="156"/>
      <c r="E614" s="155"/>
      <c r="F614" s="155"/>
      <c r="G614" s="155"/>
      <c r="H614" s="157"/>
      <c r="I614" s="154"/>
      <c r="J614" s="154"/>
      <c r="K614" s="154"/>
      <c r="L614" s="155"/>
      <c r="M614" s="156"/>
      <c r="N614" s="155"/>
      <c r="O614" s="155"/>
      <c r="P614" s="155"/>
      <c r="Q614" s="157"/>
      <c r="R614" s="154"/>
      <c r="S614" s="154"/>
    </row>
    <row r="615">
      <c r="A615" s="154"/>
      <c r="B615" s="154"/>
      <c r="C615" s="155"/>
      <c r="D615" s="156"/>
      <c r="E615" s="155"/>
      <c r="F615" s="155"/>
      <c r="G615" s="155"/>
      <c r="H615" s="157"/>
      <c r="I615" s="154"/>
      <c r="J615" s="154"/>
      <c r="K615" s="154"/>
      <c r="L615" s="155"/>
      <c r="M615" s="156"/>
      <c r="N615" s="155"/>
      <c r="O615" s="155"/>
      <c r="P615" s="155"/>
      <c r="Q615" s="157"/>
      <c r="R615" s="154"/>
      <c r="S615" s="154"/>
    </row>
  </sheetData>
  <mergeCells count="6">
    <mergeCell ref="C1:H1"/>
    <mergeCell ref="L1:Q1"/>
    <mergeCell ref="C2:H2"/>
    <mergeCell ref="L2:Q2"/>
    <mergeCell ref="C3:H3"/>
    <mergeCell ref="L3:Q3"/>
  </mergeCells>
  <dataValidations>
    <dataValidation type="list" allowBlank="1" showErrorMessage="1" sqref="A1:C1 I1:L1 R1:S1">
      <formula1>'All Competencies'!$A$3:$A615</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Q9"/>
    <hyperlink r:id="rId21" ref="D10"/>
    <hyperlink r:id="rId22" ref="H10"/>
    <hyperlink r:id="rId23" ref="M10"/>
    <hyperlink r:id="rId24" ref="Q10"/>
    <hyperlink r:id="rId25" ref="D11"/>
    <hyperlink r:id="rId26" ref="H11"/>
    <hyperlink r:id="rId27" ref="M11"/>
    <hyperlink r:id="rId28" ref="Q11"/>
    <hyperlink r:id="rId29" ref="D12"/>
    <hyperlink r:id="rId30" ref="H12"/>
    <hyperlink r:id="rId31" ref="M12"/>
    <hyperlink r:id="rId32" ref="Q12"/>
    <hyperlink r:id="rId33" ref="D13"/>
    <hyperlink r:id="rId34" ref="H13"/>
    <hyperlink r:id="rId35" ref="M13"/>
    <hyperlink r:id="rId36" ref="Q13"/>
    <hyperlink r:id="rId37" ref="D14"/>
    <hyperlink r:id="rId38" ref="M14"/>
    <hyperlink r:id="rId39" ref="Q14"/>
    <hyperlink r:id="rId40" ref="D15"/>
    <hyperlink r:id="rId41" ref="M15"/>
    <hyperlink r:id="rId42" ref="D16"/>
    <hyperlink r:id="rId43" ref="M16"/>
    <hyperlink r:id="rId44" ref="D17"/>
    <hyperlink r:id="rId45" ref="M17"/>
    <hyperlink r:id="rId46" ref="D18"/>
    <hyperlink r:id="rId47" ref="M18"/>
    <hyperlink r:id="rId48" ref="D19"/>
    <hyperlink r:id="rId49" ref="M19"/>
    <hyperlink r:id="rId50" ref="D20"/>
    <hyperlink r:id="rId51" ref="M20"/>
    <hyperlink r:id="rId52" ref="D21"/>
    <hyperlink r:id="rId53" ref="M21"/>
    <hyperlink r:id="rId54" ref="D22"/>
    <hyperlink r:id="rId55" ref="M22"/>
    <hyperlink r:id="rId56" ref="D23"/>
    <hyperlink r:id="rId57" ref="M23"/>
    <hyperlink r:id="rId58" ref="D24"/>
    <hyperlink r:id="rId59" ref="M24"/>
    <hyperlink r:id="rId60" ref="D25"/>
    <hyperlink r:id="rId61" ref="M25"/>
    <hyperlink r:id="rId62" ref="D26"/>
    <hyperlink r:id="rId63" ref="M26"/>
    <hyperlink r:id="rId64" ref="D27"/>
    <hyperlink r:id="rId65" ref="M27"/>
    <hyperlink r:id="rId66" ref="D28"/>
    <hyperlink r:id="rId67" ref="M28"/>
    <hyperlink r:id="rId68" ref="D29"/>
    <hyperlink r:id="rId69" ref="M29"/>
    <hyperlink r:id="rId70" ref="D30"/>
    <hyperlink r:id="rId71" ref="M30"/>
    <hyperlink r:id="rId72" ref="D31"/>
    <hyperlink r:id="rId73" ref="M31"/>
    <hyperlink r:id="rId74" ref="D32"/>
    <hyperlink r:id="rId75" ref="M32"/>
    <hyperlink r:id="rId76" ref="D33"/>
    <hyperlink r:id="rId77" ref="M33"/>
    <hyperlink r:id="rId78" ref="D34"/>
    <hyperlink r:id="rId79" ref="M34"/>
    <hyperlink r:id="rId80" ref="D35"/>
    <hyperlink r:id="rId81" ref="M35"/>
    <hyperlink r:id="rId82" ref="D36"/>
    <hyperlink r:id="rId83" ref="M36"/>
    <hyperlink r:id="rId84" ref="D37"/>
    <hyperlink r:id="rId85" ref="M37"/>
    <hyperlink r:id="rId86" ref="D38"/>
    <hyperlink r:id="rId87" ref="M38"/>
    <hyperlink r:id="rId88" ref="D39"/>
    <hyperlink r:id="rId89" ref="M39"/>
    <hyperlink r:id="rId90" ref="D40"/>
    <hyperlink r:id="rId91" ref="M40"/>
    <hyperlink r:id="rId92" ref="D41"/>
    <hyperlink r:id="rId93" ref="M41"/>
    <hyperlink r:id="rId94" ref="D42"/>
    <hyperlink r:id="rId95" ref="M42"/>
    <hyperlink r:id="rId96" ref="D43"/>
    <hyperlink r:id="rId97" ref="M43"/>
    <hyperlink r:id="rId98" ref="D44"/>
    <hyperlink r:id="rId99" ref="M44"/>
    <hyperlink r:id="rId100" ref="D45"/>
    <hyperlink r:id="rId101" ref="M45"/>
    <hyperlink r:id="rId102" ref="D46"/>
    <hyperlink r:id="rId103" ref="M46"/>
    <hyperlink r:id="rId104" ref="D47"/>
    <hyperlink r:id="rId105" ref="M47"/>
    <hyperlink r:id="rId106" ref="D48"/>
    <hyperlink r:id="rId107" ref="M48"/>
    <hyperlink r:id="rId108" ref="D49"/>
    <hyperlink r:id="rId109" ref="M49"/>
    <hyperlink r:id="rId110" ref="D50"/>
    <hyperlink r:id="rId111" ref="M50"/>
    <hyperlink r:id="rId112" ref="D51"/>
    <hyperlink r:id="rId113" ref="M51"/>
    <hyperlink r:id="rId114" ref="D52"/>
    <hyperlink r:id="rId115" ref="M52"/>
    <hyperlink r:id="rId116" ref="D53"/>
    <hyperlink r:id="rId117" ref="M53"/>
    <hyperlink r:id="rId118" ref="D54"/>
    <hyperlink r:id="rId119" ref="M54"/>
    <hyperlink r:id="rId120" ref="D55"/>
    <hyperlink r:id="rId121" ref="M55"/>
    <hyperlink r:id="rId122" ref="D56"/>
    <hyperlink r:id="rId123" ref="M56"/>
    <hyperlink r:id="rId124" ref="D57"/>
    <hyperlink r:id="rId125" ref="M57"/>
    <hyperlink r:id="rId126" ref="D58"/>
    <hyperlink r:id="rId127" ref="M58"/>
    <hyperlink r:id="rId128" ref="D59"/>
    <hyperlink r:id="rId129" ref="M59"/>
    <hyperlink r:id="rId130" ref="D60"/>
    <hyperlink r:id="rId131" ref="M60"/>
    <hyperlink r:id="rId132" ref="D61"/>
    <hyperlink r:id="rId133" ref="M61"/>
    <hyperlink r:id="rId134" ref="D62"/>
    <hyperlink r:id="rId135" ref="M62"/>
    <hyperlink r:id="rId136" ref="D63"/>
    <hyperlink r:id="rId137" ref="M63"/>
    <hyperlink r:id="rId138" ref="D64"/>
    <hyperlink r:id="rId139" ref="M64"/>
    <hyperlink r:id="rId140" ref="D65"/>
    <hyperlink r:id="rId141" ref="M65"/>
    <hyperlink r:id="rId142" ref="D66"/>
    <hyperlink r:id="rId143" ref="M66"/>
    <hyperlink r:id="rId144" ref="D67"/>
    <hyperlink r:id="rId145" ref="M67"/>
    <hyperlink r:id="rId146" ref="D68"/>
    <hyperlink r:id="rId147" ref="M68"/>
    <hyperlink r:id="rId148" ref="D69"/>
    <hyperlink r:id="rId149" ref="M69"/>
    <hyperlink r:id="rId150" ref="D70"/>
    <hyperlink r:id="rId151" ref="M70"/>
    <hyperlink r:id="rId152" ref="D71"/>
    <hyperlink r:id="rId153" ref="M71"/>
    <hyperlink r:id="rId154" ref="D72"/>
    <hyperlink r:id="rId155" ref="M72"/>
    <hyperlink r:id="rId156" ref="D73"/>
    <hyperlink r:id="rId157" ref="M73"/>
    <hyperlink r:id="rId158" ref="D74"/>
    <hyperlink r:id="rId159" ref="D75"/>
    <hyperlink r:id="rId160" ref="D76"/>
    <hyperlink r:id="rId161" ref="D77"/>
    <hyperlink r:id="rId162" ref="D78"/>
    <hyperlink r:id="rId163" ref="D79"/>
    <hyperlink r:id="rId164" ref="D80"/>
    <hyperlink r:id="rId165" ref="D81"/>
    <hyperlink r:id="rId166" ref="D82"/>
    <hyperlink r:id="rId167" ref="D83"/>
    <hyperlink r:id="rId168" ref="D84"/>
    <hyperlink r:id="rId169" ref="D85"/>
    <hyperlink r:id="rId170" ref="D86"/>
    <hyperlink r:id="rId171" ref="D87"/>
    <hyperlink r:id="rId172" ref="D88"/>
    <hyperlink r:id="rId173" ref="D89"/>
    <hyperlink r:id="rId174" ref="D90"/>
    <hyperlink r:id="rId175" ref="D91"/>
    <hyperlink r:id="rId176" ref="D92"/>
    <hyperlink r:id="rId177" ref="D93"/>
    <hyperlink r:id="rId178" ref="D94"/>
    <hyperlink r:id="rId179" ref="D95"/>
    <hyperlink r:id="rId180" ref="D96"/>
    <hyperlink r:id="rId181" ref="D97"/>
    <hyperlink r:id="rId182" ref="D98"/>
    <hyperlink r:id="rId183" ref="D99"/>
    <hyperlink r:id="rId184" ref="D100"/>
    <hyperlink r:id="rId185" ref="D101"/>
    <hyperlink r:id="rId186" ref="D102"/>
    <hyperlink r:id="rId187" ref="D103"/>
    <hyperlink r:id="rId188" ref="D104"/>
    <hyperlink r:id="rId189" ref="D105"/>
    <hyperlink r:id="rId190" ref="D106"/>
    <hyperlink r:id="rId191" ref="D107"/>
    <hyperlink r:id="rId192" ref="D108"/>
    <hyperlink r:id="rId193" ref="D109"/>
    <hyperlink r:id="rId194" ref="D110"/>
    <hyperlink r:id="rId195" ref="D111"/>
    <hyperlink r:id="rId196" ref="D112"/>
    <hyperlink r:id="rId197" ref="D113"/>
  </hyperlinks>
  <drawing r:id="rId198"/>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18.88"/>
    <col customWidth="1" min="6" max="6" width="22.38"/>
    <col customWidth="1" min="7" max="7" width="11.38"/>
    <col customWidth="1" min="8" max="8" width="43.88"/>
    <col customWidth="1" min="9" max="11" width="0.63"/>
    <col customWidth="1" min="12" max="12" width="11.88"/>
    <col customWidth="1" min="13" max="13" width="48.0"/>
    <col customWidth="1" min="14" max="14" width="18.88"/>
    <col customWidth="1" min="15" max="15" width="22.38"/>
    <col customWidth="1" min="16" max="16" width="11.38"/>
    <col customWidth="1" min="17" max="17" width="43.88"/>
    <col customWidth="1" min="18" max="19" width="0.63"/>
  </cols>
  <sheetData>
    <row r="1" ht="27.75" customHeight="1" outlineLevel="1">
      <c r="A1" s="130"/>
      <c r="B1" s="130"/>
      <c r="C1" s="131" t="s">
        <v>1384</v>
      </c>
      <c r="I1" s="130"/>
      <c r="J1" s="130"/>
      <c r="K1" s="130"/>
      <c r="L1" s="131" t="s">
        <v>1448</v>
      </c>
      <c r="R1" s="130"/>
      <c r="S1" s="130"/>
    </row>
    <row r="2" outlineLevel="1">
      <c r="A2" s="132"/>
      <c r="B2" s="132"/>
      <c r="C2" s="133" t="s">
        <v>1986</v>
      </c>
      <c r="I2" s="132"/>
      <c r="J2" s="132"/>
      <c r="K2" s="132"/>
      <c r="L2" s="133" t="s">
        <v>1986</v>
      </c>
      <c r="R2" s="132"/>
      <c r="S2" s="132"/>
    </row>
    <row r="3" ht="47.25" customHeight="1" outlineLevel="1">
      <c r="A3" s="134"/>
      <c r="B3" s="134"/>
      <c r="C3" s="135" t="str">
        <f>IFERROR(__xludf.DUMMYFUNCTION("IFERROR(UNIQUE(FILTER('Competency Learning Paths'!N:N,'Competency Learning Paths'!A:A= C1)))"),"Operational Management, Continuous improvement, Process Excellence, Organisation Excellence")</f>
        <v>Operational Management, Continuous improvement, Process Excellence, Organisation Excellence</v>
      </c>
      <c r="I3" s="134"/>
      <c r="J3" s="134"/>
      <c r="K3" s="134"/>
      <c r="L3" s="135" t="str">
        <f>IFERROR(__xludf.DUMMYFUNCTION("IFERROR(UNIQUE(FILTER('Competency Learning Paths'!N:N,'Competency Learning Paths'!A:A= L1)))"),"Presenting, Presenting Information, Public Speaking, Oral Communication, Communicating Effectively, Training &amp; Presenting Information")</f>
        <v>Presenting, Presenting Information, Public Speaking, Oral Communication, Communicating Effectively, Training &amp; Presenting Information</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IFERROR(__xludf.DUMMYFUNCTION("""COMPUTED_VALUE"""),2815157.0)</f>
        <v>2815157</v>
      </c>
      <c r="D5" s="142" t="str">
        <f>IFERROR(__xludf.DUMMYFUNCTION("""COMPUTED_VALUE"""),"Agile Software Development: Creating an Agile Culture")</f>
        <v>Agile Software Development: Creating an Agile Culture</v>
      </c>
      <c r="E5" s="141" t="str">
        <f>IFERROR(__xludf.DUMMYFUNCTION("""COMPUTED_VALUE"""),"C-Suite")</f>
        <v>C-Suite</v>
      </c>
      <c r="F5" s="141" t="str">
        <f>IFERROR(__xludf.DUMMYFUNCTION("""COMPUTED_VALUE"""),"Beginner")</f>
        <v>Beginner</v>
      </c>
      <c r="G5" s="143">
        <f>IFERROR(__xludf.DUMMYFUNCTION("""COMPUTED_VALUE"""),0.060162037037037035)</f>
        <v>0.06016203704</v>
      </c>
      <c r="H5" s="144" t="str">
        <f>IFERROR(__xludf.DUMMYFUNCTION("""COMPUTED_VALUE"""),"Become a Business Operations Associate")</f>
        <v>Become a Business Operations Associate</v>
      </c>
      <c r="I5" s="140"/>
      <c r="J5" s="140"/>
      <c r="K5" s="140"/>
      <c r="L5" s="141">
        <f>IFERROR(__xludf.DUMMYFUNCTION("""COMPUTED_VALUE"""),2813181.0)</f>
        <v>2813181</v>
      </c>
      <c r="M5" s="145" t="str">
        <f>IFERROR(__xludf.DUMMYFUNCTION("""COMPUTED_VALUE"""),"Presentation Tips for Pitching to Investors")</f>
        <v>Presentation Tips for Pitching to Investors</v>
      </c>
      <c r="N5" s="141" t="str">
        <f>IFERROR(__xludf.DUMMYFUNCTION("""COMPUTED_VALUE"""),"Senior Manager")</f>
        <v>Senior Manager</v>
      </c>
      <c r="O5" s="141" t="str">
        <f>IFERROR(__xludf.DUMMYFUNCTION("""COMPUTED_VALUE"""),"Beginner")</f>
        <v>Beginner</v>
      </c>
      <c r="P5" s="146">
        <f>IFERROR(__xludf.DUMMYFUNCTION("""COMPUTED_VALUE"""),0.020324074074074074)</f>
        <v>0.02032407407</v>
      </c>
      <c r="Q5" s="144" t="str">
        <f>IFERROR(__xludf.DUMMYFUNCTION("""COMPUTED_VALUE"""),"Create a Successful Pitch for Investors")</f>
        <v>Create a Successful Pitch for Investors</v>
      </c>
      <c r="R5" s="140"/>
      <c r="S5" s="140"/>
    </row>
    <row r="6" ht="33.75" customHeight="1">
      <c r="A6" s="140"/>
      <c r="B6" s="140"/>
      <c r="C6" s="147">
        <f>IFERROR(__xludf.DUMMYFUNCTION("""COMPUTED_VALUE"""),737754.0)</f>
        <v>737754</v>
      </c>
      <c r="D6" s="148" t="str">
        <f>IFERROR(__xludf.DUMMYFUNCTION("""COMPUTED_VALUE"""),"Mergers &amp; Acquisitions")</f>
        <v>Mergers &amp; Acquisitions</v>
      </c>
      <c r="E6" s="147" t="str">
        <f>IFERROR(__xludf.DUMMYFUNCTION("""COMPUTED_VALUE"""),"C-Suite")</f>
        <v>C-Suite</v>
      </c>
      <c r="F6" s="141" t="str">
        <f>IFERROR(__xludf.DUMMYFUNCTION("""COMPUTED_VALUE"""),"Beginner")</f>
        <v>Beginner</v>
      </c>
      <c r="G6" s="143">
        <f>IFERROR(__xludf.DUMMYFUNCTION("""COMPUTED_VALUE"""),0.036944444444444446)</f>
        <v>0.03694444444</v>
      </c>
      <c r="H6" s="149" t="str">
        <f>IFERROR(__xludf.DUMMYFUNCTION("""COMPUTED_VALUE"""),"Becoming a Six Sigma Black Belt")</f>
        <v>Becoming a Six Sigma Black Belt</v>
      </c>
      <c r="I6" s="140"/>
      <c r="J6" s="140"/>
      <c r="K6" s="140"/>
      <c r="L6" s="147">
        <f>IFERROR(__xludf.DUMMYFUNCTION("""COMPUTED_VALUE"""),693078.0)</f>
        <v>693078</v>
      </c>
      <c r="M6" s="150" t="str">
        <f>IFERROR(__xludf.DUMMYFUNCTION("""COMPUTED_VALUE"""),"Leading Productive Meetings")</f>
        <v>Leading Productive Meetings</v>
      </c>
      <c r="N6" s="147" t="str">
        <f>IFERROR(__xludf.DUMMYFUNCTION("""COMPUTED_VALUE"""),"Manager")</f>
        <v>Manager</v>
      </c>
      <c r="O6" s="141" t="str">
        <f>IFERROR(__xludf.DUMMYFUNCTION("""COMPUTED_VALUE"""),"Beginner + Intermediate")</f>
        <v>Beginner + Intermediate</v>
      </c>
      <c r="P6" s="146">
        <f>IFERROR(__xludf.DUMMYFUNCTION("""COMPUTED_VALUE"""),0.04511574074074074)</f>
        <v>0.04511574074</v>
      </c>
      <c r="Q6" s="149" t="str">
        <f>IFERROR(__xludf.DUMMYFUNCTION("""COMPUTED_VALUE"""),"Create and Deliver Engaging Presentations")</f>
        <v>Create and Deliver Engaging Presentations</v>
      </c>
      <c r="R6" s="140"/>
      <c r="S6" s="140"/>
    </row>
    <row r="7" ht="33.75" customHeight="1">
      <c r="A7" s="140"/>
      <c r="B7" s="140"/>
      <c r="C7" s="147">
        <f>IFERROR(__xludf.DUMMYFUNCTION("""COMPUTED_VALUE"""),431182.0)</f>
        <v>431182</v>
      </c>
      <c r="D7" s="148" t="str">
        <f>IFERROR(__xludf.DUMMYFUNCTION("""COMPUTED_VALUE"""),"Sustainability Strategies")</f>
        <v>Sustainability Strategies</v>
      </c>
      <c r="E7" s="147" t="str">
        <f>IFERROR(__xludf.DUMMYFUNCTION("""COMPUTED_VALUE"""),"C-Suite")</f>
        <v>C-Suite</v>
      </c>
      <c r="F7" s="141" t="str">
        <f>IFERROR(__xludf.DUMMYFUNCTION("""COMPUTED_VALUE"""),"Intermediate")</f>
        <v>Intermediate</v>
      </c>
      <c r="G7" s="143">
        <f>IFERROR(__xludf.DUMMYFUNCTION("""COMPUTED_VALUE"""),0.03908564814814815)</f>
        <v>0.03908564815</v>
      </c>
      <c r="H7" s="149" t="str">
        <f>IFERROR(__xludf.DUMMYFUNCTION("""COMPUTED_VALUE"""),"Becoming a Six Sigma Green Belt")</f>
        <v>Becoming a Six Sigma Green Belt</v>
      </c>
      <c r="I7" s="140"/>
      <c r="J7" s="140"/>
      <c r="K7" s="140"/>
      <c r="L7" s="147">
        <f>IFERROR(__xludf.DUMMYFUNCTION("""COMPUTED_VALUE"""),656781.0)</f>
        <v>656781</v>
      </c>
      <c r="M7" s="150" t="str">
        <f>IFERROR(__xludf.DUMMYFUNCTION("""COMPUTED_VALUE"""),"Facilitation Skills for Managers and Leaders")</f>
        <v>Facilitation Skills for Managers and Leaders</v>
      </c>
      <c r="N7" s="147" t="str">
        <f>IFERROR(__xludf.DUMMYFUNCTION("""COMPUTED_VALUE"""),"Manager")</f>
        <v>Manager</v>
      </c>
      <c r="O7" s="141" t="str">
        <f>IFERROR(__xludf.DUMMYFUNCTION("""COMPUTED_VALUE"""),"Intermediate")</f>
        <v>Intermediate</v>
      </c>
      <c r="P7" s="146">
        <f>IFERROR(__xludf.DUMMYFUNCTION("""COMPUTED_VALUE"""),0.03)</f>
        <v>0.03</v>
      </c>
      <c r="Q7" s="149" t="str">
        <f>IFERROR(__xludf.DUMMYFUNCTION("""COMPUTED_VALUE"""),"Develop Your Presentation Skills")</f>
        <v>Develop Your Presentation Skills</v>
      </c>
      <c r="R7" s="140"/>
      <c r="S7" s="140"/>
    </row>
    <row r="8" ht="33.75" customHeight="1">
      <c r="A8" s="140"/>
      <c r="B8" s="140"/>
      <c r="C8" s="147">
        <f>IFERROR(__xludf.DUMMYFUNCTION("""COMPUTED_VALUE"""),2817144.0)</f>
        <v>2817144</v>
      </c>
      <c r="D8" s="148" t="str">
        <f>IFERROR(__xludf.DUMMYFUNCTION("""COMPUTED_VALUE"""),"Lean Technology Strategy: Purposeful Organizations")</f>
        <v>Lean Technology Strategy: Purposeful Organizations</v>
      </c>
      <c r="E8" s="147" t="str">
        <f>IFERROR(__xludf.DUMMYFUNCTION("""COMPUTED_VALUE"""),"C-Suite")</f>
        <v>C-Suite</v>
      </c>
      <c r="F8" s="141" t="str">
        <f>IFERROR(__xludf.DUMMYFUNCTION("""COMPUTED_VALUE"""),"Intermediate")</f>
        <v>Intermediate</v>
      </c>
      <c r="G8" s="143">
        <f>IFERROR(__xludf.DUMMYFUNCTION("""COMPUTED_VALUE"""),0.015844907407407408)</f>
        <v>0.01584490741</v>
      </c>
      <c r="H8" s="149" t="str">
        <f>IFERROR(__xludf.DUMMYFUNCTION("""COMPUTED_VALUE"""),"Become a Six Sigma Yellow Belt")</f>
        <v>Become a Six Sigma Yellow Belt</v>
      </c>
      <c r="I8" s="140"/>
      <c r="J8" s="140"/>
      <c r="K8" s="140"/>
      <c r="L8" s="147">
        <f>IFERROR(__xludf.DUMMYFUNCTION("""COMPUTED_VALUE"""),2811019.0)</f>
        <v>2811019</v>
      </c>
      <c r="M8" s="150" t="str">
        <f>IFERROR(__xludf.DUMMYFUNCTION("""COMPUTED_VALUE"""),"Graphic Facilitation for Productive Team Meetings")</f>
        <v>Graphic Facilitation for Productive Team Meetings</v>
      </c>
      <c r="N8" s="147" t="str">
        <f>IFERROR(__xludf.DUMMYFUNCTION("""COMPUTED_VALUE"""),"Manager")</f>
        <v>Manager</v>
      </c>
      <c r="O8" s="141" t="str">
        <f>IFERROR(__xludf.DUMMYFUNCTION("""COMPUTED_VALUE"""),"Intermediate")</f>
        <v>Intermediate</v>
      </c>
      <c r="P8" s="146">
        <f>IFERROR(__xludf.DUMMYFUNCTION("""COMPUTED_VALUE"""),0.027916666666666666)</f>
        <v>0.02791666667</v>
      </c>
      <c r="Q8" s="149" t="str">
        <f>IFERROR(__xludf.DUMMYFUNCTION("""COMPUTED_VALUE"""),"Getting Started with Microsoft PowerPoint")</f>
        <v>Getting Started with Microsoft PowerPoint</v>
      </c>
      <c r="R8" s="140"/>
      <c r="S8" s="140"/>
    </row>
    <row r="9" ht="33.75" customHeight="1">
      <c r="A9" s="140"/>
      <c r="B9" s="140"/>
      <c r="C9" s="147">
        <f>IFERROR(__xludf.DUMMYFUNCTION("""COMPUTED_VALUE"""),2819144.0)</f>
        <v>2819144</v>
      </c>
      <c r="D9" s="148" t="str">
        <f>IFERROR(__xludf.DUMMYFUNCTION("""COMPUTED_VALUE"""),"Lean Technology Strategy: Financial Management to Support Business Agility")</f>
        <v>Lean Technology Strategy: Financial Management to Support Business Agility</v>
      </c>
      <c r="E9" s="147" t="str">
        <f>IFERROR(__xludf.DUMMYFUNCTION("""COMPUTED_VALUE"""),"C-Suite")</f>
        <v>C-Suite</v>
      </c>
      <c r="F9" s="141" t="str">
        <f>IFERROR(__xludf.DUMMYFUNCTION("""COMPUTED_VALUE"""),"Intermediate")</f>
        <v>Intermediate</v>
      </c>
      <c r="G9" s="143">
        <f>IFERROR(__xludf.DUMMYFUNCTION("""COMPUTED_VALUE"""),0.027766203703703703)</f>
        <v>0.0277662037</v>
      </c>
      <c r="H9" s="149" t="str">
        <f>IFERROR(__xludf.DUMMYFUNCTION("""COMPUTED_VALUE"""),"Build a Privacy Program")</f>
        <v>Build a Privacy Program</v>
      </c>
      <c r="I9" s="140"/>
      <c r="J9" s="140"/>
      <c r="K9" s="140"/>
      <c r="L9" s="147">
        <f>IFERROR(__xludf.DUMMYFUNCTION("""COMPUTED_VALUE"""),797723.0)</f>
        <v>797723</v>
      </c>
      <c r="M9" s="148" t="str">
        <f>IFERROR(__xludf.DUMMYFUNCTION("""COMPUTED_VALUE"""),"Executive Presence on Video Conference Calls")</f>
        <v>Executive Presence on Video Conference Calls</v>
      </c>
      <c r="N9" s="147" t="str">
        <f>IFERROR(__xludf.DUMMYFUNCTION("""COMPUTED_VALUE"""),"Manager")</f>
        <v>Manager</v>
      </c>
      <c r="O9" s="141" t="str">
        <f>IFERROR(__xludf.DUMMYFUNCTION("""COMPUTED_VALUE"""),"Intermediate")</f>
        <v>Intermediate</v>
      </c>
      <c r="P9" s="143">
        <f>IFERROR(__xludf.DUMMYFUNCTION("""COMPUTED_VALUE"""),0.02423611111111111)</f>
        <v>0.02423611111</v>
      </c>
      <c r="Q9" s="149" t="str">
        <f>IFERROR(__xludf.DUMMYFUNCTION("""COMPUTED_VALUE"""),"Improve Your Presentation Skills")</f>
        <v>Improve Your Presentation Skills</v>
      </c>
      <c r="R9" s="140"/>
      <c r="S9" s="140"/>
    </row>
    <row r="10" ht="33.75" customHeight="1">
      <c r="A10" s="140"/>
      <c r="B10" s="140"/>
      <c r="C10" s="147">
        <f>IFERROR(__xludf.DUMMYFUNCTION("""COMPUTED_VALUE"""),667354.0)</f>
        <v>667354</v>
      </c>
      <c r="D10" s="148" t="str">
        <f>IFERROR(__xludf.DUMMYFUNCTION("""COMPUTED_VALUE"""),"Digital Transformation")</f>
        <v>Digital Transformation</v>
      </c>
      <c r="E10" s="147" t="str">
        <f>IFERROR(__xludf.DUMMYFUNCTION("""COMPUTED_VALUE"""),"C-Suite")</f>
        <v>C-Suite</v>
      </c>
      <c r="F10" s="141" t="str">
        <f>IFERROR(__xludf.DUMMYFUNCTION("""COMPUTED_VALUE"""),"Advanced")</f>
        <v>Advanced</v>
      </c>
      <c r="G10" s="143">
        <f>IFERROR(__xludf.DUMMYFUNCTION("""COMPUTED_VALUE"""),0.032962962962962965)</f>
        <v>0.03296296296</v>
      </c>
      <c r="H10" s="158" t="str">
        <f>IFERROR(__xludf.DUMMYFUNCTION("""COMPUTED_VALUE"""),"Improve Processes and Deliver Operational Excellence ")</f>
        <v>Improve Processes and Deliver Operational Excellence </v>
      </c>
      <c r="I10" s="140"/>
      <c r="J10" s="140"/>
      <c r="K10" s="140"/>
      <c r="L10" s="147">
        <f>IFERROR(__xludf.DUMMYFUNCTION("""COMPUTED_VALUE"""),706912.0)</f>
        <v>706912</v>
      </c>
      <c r="M10" s="148" t="str">
        <f>IFERROR(__xludf.DUMMYFUNCTION("""COMPUTED_VALUE"""),"Establishing Credibility as a Speaker")</f>
        <v>Establishing Credibility as a Speaker</v>
      </c>
      <c r="N10" s="147" t="str">
        <f>IFERROR(__xludf.DUMMYFUNCTION("""COMPUTED_VALUE"""),"General")</f>
        <v>General</v>
      </c>
      <c r="O10" s="141" t="str">
        <f>IFERROR(__xludf.DUMMYFUNCTION("""COMPUTED_VALUE"""),"Beginner")</f>
        <v>Beginner</v>
      </c>
      <c r="P10" s="143">
        <f>IFERROR(__xludf.DUMMYFUNCTION("""COMPUTED_VALUE"""),0.022662037037037036)</f>
        <v>0.02266203704</v>
      </c>
      <c r="Q10" s="158" t="str">
        <f>IFERROR(__xludf.DUMMYFUNCTION("""COMPUTED_VALUE"""),"Master Microsoft PowerPoint")</f>
        <v>Master Microsoft PowerPoint</v>
      </c>
      <c r="R10" s="140"/>
      <c r="S10" s="140"/>
    </row>
    <row r="11" ht="33.75" customHeight="1">
      <c r="A11" s="140"/>
      <c r="B11" s="140"/>
      <c r="C11" s="147">
        <f>IFERROR(__xludf.DUMMYFUNCTION("""COMPUTED_VALUE"""),786355.0)</f>
        <v>786355</v>
      </c>
      <c r="D11" s="148" t="str">
        <f>IFERROR(__xludf.DUMMYFUNCTION("""COMPUTED_VALUE"""),"Creating a Product-Centric Organization")</f>
        <v>Creating a Product-Centric Organization</v>
      </c>
      <c r="E11" s="147" t="str">
        <f>IFERROR(__xludf.DUMMYFUNCTION("""COMPUTED_VALUE"""),"C-Suite")</f>
        <v>C-Suite</v>
      </c>
      <c r="F11" s="141" t="str">
        <f>IFERROR(__xludf.DUMMYFUNCTION("""COMPUTED_VALUE"""),"Advanced")</f>
        <v>Advanced</v>
      </c>
      <c r="G11" s="143">
        <f>IFERROR(__xludf.DUMMYFUNCTION("""COMPUTED_VALUE"""),0.03476851851851852)</f>
        <v>0.03476851852</v>
      </c>
      <c r="H11" s="149" t="str">
        <f>IFERROR(__xludf.DUMMYFUNCTION("""COMPUTED_VALUE"""),"Improve Your Continuous Delivery Skills")</f>
        <v>Improve Your Continuous Delivery Skills</v>
      </c>
      <c r="I11" s="140"/>
      <c r="J11" s="140"/>
      <c r="K11" s="140"/>
      <c r="L11" s="147">
        <f>IFERROR(__xludf.DUMMYFUNCTION("""COMPUTED_VALUE"""),748565.0)</f>
        <v>748565</v>
      </c>
      <c r="M11" s="148" t="str">
        <f>IFERROR(__xludf.DUMMYFUNCTION("""COMPUTED_VALUE"""),"Learning PowerPoint 2019")</f>
        <v>Learning PowerPoint 2019</v>
      </c>
      <c r="N11" s="147" t="str">
        <f>IFERROR(__xludf.DUMMYFUNCTION("""COMPUTED_VALUE"""),"General")</f>
        <v>General</v>
      </c>
      <c r="O11" s="141" t="str">
        <f>IFERROR(__xludf.DUMMYFUNCTION("""COMPUTED_VALUE"""),"Beginner")</f>
        <v>Beginner</v>
      </c>
      <c r="P11" s="143">
        <f>IFERROR(__xludf.DUMMYFUNCTION("""COMPUTED_VALUE"""),0.05282407407407407)</f>
        <v>0.05282407407</v>
      </c>
      <c r="Q11" s="149" t="str">
        <f>IFERROR(__xludf.DUMMYFUNCTION("""COMPUTED_VALUE"""),"Visual Communication for Business Professionals")</f>
        <v>Visual Communication for Business Professionals</v>
      </c>
      <c r="R11" s="140"/>
      <c r="S11" s="140"/>
    </row>
    <row r="12" ht="33.75" customHeight="1">
      <c r="A12" s="140"/>
      <c r="B12" s="140"/>
      <c r="C12" s="147">
        <f>IFERROR(__xludf.DUMMYFUNCTION("""COMPUTED_VALUE"""),734650.0)</f>
        <v>734650</v>
      </c>
      <c r="D12" s="148" t="str">
        <f>IFERROR(__xludf.DUMMYFUNCTION("""COMPUTED_VALUE"""),"Cybersecurity for Executives")</f>
        <v>Cybersecurity for Executives</v>
      </c>
      <c r="E12" s="147" t="str">
        <f>IFERROR(__xludf.DUMMYFUNCTION("""COMPUTED_VALUE"""),"C-Suite")</f>
        <v>C-Suite</v>
      </c>
      <c r="F12" s="141" t="str">
        <f>IFERROR(__xludf.DUMMYFUNCTION("""COMPUTED_VALUE"""),"General")</f>
        <v>General</v>
      </c>
      <c r="G12" s="143">
        <f>IFERROR(__xludf.DUMMYFUNCTION("""COMPUTED_VALUE"""),0.07376157407407408)</f>
        <v>0.07376157407</v>
      </c>
      <c r="H12" s="149" t="str">
        <f>IFERROR(__xludf.DUMMYFUNCTION("""COMPUTED_VALUE"""),"Stay Ahead in Sustainability and Green Building")</f>
        <v>Stay Ahead in Sustainability and Green Building</v>
      </c>
      <c r="I12" s="140"/>
      <c r="J12" s="140"/>
      <c r="K12" s="140"/>
      <c r="L12" s="147">
        <f>IFERROR(__xludf.DUMMYFUNCTION("""COMPUTED_VALUE"""),512778.0)</f>
        <v>512778</v>
      </c>
      <c r="M12" s="148" t="str">
        <f>IFERROR(__xludf.DUMMYFUNCTION("""COMPUTED_VALUE"""),"Managing Meetings")</f>
        <v>Managing Meetings</v>
      </c>
      <c r="N12" s="147" t="str">
        <f>IFERROR(__xludf.DUMMYFUNCTION("""COMPUTED_VALUE"""),"General")</f>
        <v>General</v>
      </c>
      <c r="O12" s="141" t="str">
        <f>IFERROR(__xludf.DUMMYFUNCTION("""COMPUTED_VALUE"""),"Beginner")</f>
        <v>Beginner</v>
      </c>
      <c r="P12" s="143">
        <f>IFERROR(__xludf.DUMMYFUNCTION("""COMPUTED_VALUE"""),0.05)</f>
        <v>0.05</v>
      </c>
      <c r="Q12" s="151"/>
      <c r="R12" s="140"/>
      <c r="S12" s="140"/>
    </row>
    <row r="13" ht="33.75" customHeight="1">
      <c r="A13" s="140"/>
      <c r="B13" s="140"/>
      <c r="C13" s="147">
        <f>IFERROR(__xludf.DUMMYFUNCTION("""COMPUTED_VALUE"""),782126.0)</f>
        <v>782126</v>
      </c>
      <c r="D13" s="148" t="str">
        <f>IFERROR(__xludf.DUMMYFUNCTION("""COMPUTED_VALUE"""),"Reid Hoffman and Chris Yeh on Blitzscaling")</f>
        <v>Reid Hoffman and Chris Yeh on Blitzscaling</v>
      </c>
      <c r="E13" s="147" t="str">
        <f>IFERROR(__xludf.DUMMYFUNCTION("""COMPUTED_VALUE"""),"C-Suite")</f>
        <v>C-Suite</v>
      </c>
      <c r="F13" s="141" t="str">
        <f>IFERROR(__xludf.DUMMYFUNCTION("""COMPUTED_VALUE"""),"General")</f>
        <v>General</v>
      </c>
      <c r="G13" s="143">
        <f>IFERROR(__xludf.DUMMYFUNCTION("""COMPUTED_VALUE"""),0.012291666666666666)</f>
        <v>0.01229166667</v>
      </c>
      <c r="H13" s="158" t="str">
        <f>IFERROR(__xludf.DUMMYFUNCTION("""COMPUTED_VALUE"""),"Stay Competitive Using Design Thinking")</f>
        <v>Stay Competitive Using Design Thinking</v>
      </c>
      <c r="I13" s="140"/>
      <c r="J13" s="140"/>
      <c r="K13" s="140"/>
      <c r="L13" s="147">
        <f>IFERROR(__xludf.DUMMYFUNCTION("""COMPUTED_VALUE"""),5016700.0)</f>
        <v>5016700</v>
      </c>
      <c r="M13" s="148" t="str">
        <f>IFERROR(__xludf.DUMMYFUNCTION("""COMPUTED_VALUE"""),"Overcoming Your Fear of Public Speaking")</f>
        <v>Overcoming Your Fear of Public Speaking</v>
      </c>
      <c r="N13" s="147" t="str">
        <f>IFERROR(__xludf.DUMMYFUNCTION("""COMPUTED_VALUE"""),"General")</f>
        <v>General</v>
      </c>
      <c r="O13" s="141" t="str">
        <f>IFERROR(__xludf.DUMMYFUNCTION("""COMPUTED_VALUE"""),"Beginner")</f>
        <v>Beginner</v>
      </c>
      <c r="P13" s="143">
        <f>IFERROR(__xludf.DUMMYFUNCTION("""COMPUTED_VALUE"""),0.013587962962962963)</f>
        <v>0.01358796296</v>
      </c>
      <c r="Q13" s="152"/>
      <c r="R13" s="140"/>
      <c r="S13" s="140"/>
    </row>
    <row r="14" ht="33.75" customHeight="1">
      <c r="A14" s="140"/>
      <c r="B14" s="140"/>
      <c r="C14" s="147">
        <f>IFERROR(__xludf.DUMMYFUNCTION("""COMPUTED_VALUE"""),2819026.0)</f>
        <v>2819026</v>
      </c>
      <c r="D14" s="148" t="str">
        <f>IFERROR(__xludf.DUMMYFUNCTION("""COMPUTED_VALUE"""),"Skip-Level Meetings")</f>
        <v>Skip-Level Meetings</v>
      </c>
      <c r="E14" s="147" t="str">
        <f>IFERROR(__xludf.DUMMYFUNCTION("""COMPUTED_VALUE"""),"Senior Manager")</f>
        <v>Senior Manager</v>
      </c>
      <c r="F14" s="141" t="str">
        <f>IFERROR(__xludf.DUMMYFUNCTION("""COMPUTED_VALUE"""),"Intermediate")</f>
        <v>Intermediate</v>
      </c>
      <c r="G14" s="143">
        <f>IFERROR(__xludf.DUMMYFUNCTION("""COMPUTED_VALUE"""),0.019525462962962963)</f>
        <v>0.01952546296</v>
      </c>
      <c r="H14" s="149" t="str">
        <f>IFERROR(__xludf.DUMMYFUNCTION("""COMPUTED_VALUE"""),"Understand GDPR and Data Privacy")</f>
        <v>Understand GDPR and Data Privacy</v>
      </c>
      <c r="I14" s="140"/>
      <c r="J14" s="140"/>
      <c r="K14" s="140"/>
      <c r="L14" s="147">
        <f>IFERROR(__xludf.DUMMYFUNCTION("""COMPUTED_VALUE"""),706911.0)</f>
        <v>706911</v>
      </c>
      <c r="M14" s="148" t="str">
        <f>IFERROR(__xludf.DUMMYFUNCTION("""COMPUTED_VALUE"""),"Public Speaking Foundations")</f>
        <v>Public Speaking Foundations</v>
      </c>
      <c r="N14" s="147" t="str">
        <f>IFERROR(__xludf.DUMMYFUNCTION("""COMPUTED_VALUE"""),"General")</f>
        <v>General</v>
      </c>
      <c r="O14" s="141" t="str">
        <f>IFERROR(__xludf.DUMMYFUNCTION("""COMPUTED_VALUE"""),"Beginner")</f>
        <v>Beginner</v>
      </c>
      <c r="P14" s="143">
        <f>IFERROR(__xludf.DUMMYFUNCTION("""COMPUTED_VALUE"""),0.04387731481481481)</f>
        <v>0.04387731481</v>
      </c>
      <c r="Q14" s="151"/>
      <c r="R14" s="140"/>
      <c r="S14" s="140"/>
    </row>
    <row r="15" ht="33.75" customHeight="1">
      <c r="A15" s="140"/>
      <c r="B15" s="140"/>
      <c r="C15" s="147">
        <f>IFERROR(__xludf.DUMMYFUNCTION("""COMPUTED_VALUE"""),5015884.0)</f>
        <v>5015884</v>
      </c>
      <c r="D15" s="148" t="str">
        <f>IFERROR(__xludf.DUMMYFUNCTION("""COMPUTED_VALUE"""),"Scaling Up Excellence: Getting to More Without Settling for Less (Blinkist Summary)")</f>
        <v>Scaling Up Excellence: Getting to More Without Settling for Less (Blinkist Summary)</v>
      </c>
      <c r="E15" s="147" t="str">
        <f>IFERROR(__xludf.DUMMYFUNCTION("""COMPUTED_VALUE"""),"Senior Manager")</f>
        <v>Senior Manager</v>
      </c>
      <c r="F15" s="141" t="str">
        <f>IFERROR(__xludf.DUMMYFUNCTION("""COMPUTED_VALUE"""),"Intermediate")</f>
        <v>Intermediate</v>
      </c>
      <c r="G15" s="143">
        <f>IFERROR(__xludf.DUMMYFUNCTION("""COMPUTED_VALUE"""),0.012893518518518518)</f>
        <v>0.01289351852</v>
      </c>
      <c r="H15" s="151"/>
      <c r="I15" s="140"/>
      <c r="J15" s="140"/>
      <c r="K15" s="140"/>
      <c r="L15" s="147">
        <f>IFERROR(__xludf.DUMMYFUNCTION("""COMPUTED_VALUE"""),2812533.0)</f>
        <v>2812533</v>
      </c>
      <c r="M15" s="148" t="str">
        <f>IFERROR(__xludf.DUMMYFUNCTION("""COMPUTED_VALUE"""),"Own Your Voice: Improve Presentations and Executive Presence")</f>
        <v>Own Your Voice: Improve Presentations and Executive Presence</v>
      </c>
      <c r="N15" s="147" t="str">
        <f>IFERROR(__xludf.DUMMYFUNCTION("""COMPUTED_VALUE"""),"General")</f>
        <v>General</v>
      </c>
      <c r="O15" s="141" t="str">
        <f>IFERROR(__xludf.DUMMYFUNCTION("""COMPUTED_VALUE"""),"Beginner")</f>
        <v>Beginner</v>
      </c>
      <c r="P15" s="143">
        <f>IFERROR(__xludf.DUMMYFUNCTION("""COMPUTED_VALUE"""),0.026284722222222223)</f>
        <v>0.02628472222</v>
      </c>
      <c r="Q15" s="151"/>
      <c r="R15" s="140"/>
      <c r="S15" s="140"/>
    </row>
    <row r="16" ht="33.75" customHeight="1">
      <c r="A16" s="140"/>
      <c r="B16" s="140"/>
      <c r="C16" s="147">
        <f>IFERROR(__xludf.DUMMYFUNCTION("""COMPUTED_VALUE"""),5028627.0)</f>
        <v>5028627</v>
      </c>
      <c r="D16" s="148" t="str">
        <f>IFERROR(__xludf.DUMMYFUNCTION("""COMPUTED_VALUE"""),"Organizational Thought Leadership")</f>
        <v>Organizational Thought Leadership</v>
      </c>
      <c r="E16" s="147" t="str">
        <f>IFERROR(__xludf.DUMMYFUNCTION("""COMPUTED_VALUE"""),"Senior Manager")</f>
        <v>Senior Manager</v>
      </c>
      <c r="F16" s="141" t="str">
        <f>IFERROR(__xludf.DUMMYFUNCTION("""COMPUTED_VALUE"""),"Advanced")</f>
        <v>Advanced</v>
      </c>
      <c r="G16" s="143">
        <f>IFERROR(__xludf.DUMMYFUNCTION("""COMPUTED_VALUE"""),0.061064814814814815)</f>
        <v>0.06106481481</v>
      </c>
      <c r="H16" s="151"/>
      <c r="I16" s="140"/>
      <c r="J16" s="140"/>
      <c r="K16" s="140"/>
      <c r="L16" s="147">
        <f>IFERROR(__xludf.DUMMYFUNCTION("""COMPUTED_VALUE"""),2817015.0)</f>
        <v>2817015</v>
      </c>
      <c r="M16" s="148" t="str">
        <f>IFERROR(__xludf.DUMMYFUNCTION("""COMPUTED_VALUE"""),"Public Speaking: Energize and Engage Your Audience")</f>
        <v>Public Speaking: Energize and Engage Your Audience</v>
      </c>
      <c r="N16" s="147" t="str">
        <f>IFERROR(__xludf.DUMMYFUNCTION("""COMPUTED_VALUE"""),"General")</f>
        <v>General</v>
      </c>
      <c r="O16" s="141" t="str">
        <f>IFERROR(__xludf.DUMMYFUNCTION("""COMPUTED_VALUE"""),"Beginner")</f>
        <v>Beginner</v>
      </c>
      <c r="P16" s="143">
        <f>IFERROR(__xludf.DUMMYFUNCTION("""COMPUTED_VALUE"""),0.026145833333333333)</f>
        <v>0.02614583333</v>
      </c>
      <c r="Q16" s="151"/>
      <c r="R16" s="140"/>
      <c r="S16" s="140"/>
    </row>
    <row r="17" ht="33.75" customHeight="1">
      <c r="A17" s="140"/>
      <c r="B17" s="140"/>
      <c r="C17" s="147">
        <f>IFERROR(__xludf.DUMMYFUNCTION("""COMPUTED_VALUE"""),520232.0)</f>
        <v>520232</v>
      </c>
      <c r="D17" s="148" t="str">
        <f>IFERROR(__xludf.DUMMYFUNCTION("""COMPUTED_VALUE"""),"Implementing an Information Security Program")</f>
        <v>Implementing an Information Security Program</v>
      </c>
      <c r="E17" s="147" t="str">
        <f>IFERROR(__xludf.DUMMYFUNCTION("""COMPUTED_VALUE"""),"Senior Manager")</f>
        <v>Senior Manager</v>
      </c>
      <c r="F17" s="141" t="str">
        <f>IFERROR(__xludf.DUMMYFUNCTION("""COMPUTED_VALUE"""),"General")</f>
        <v>General</v>
      </c>
      <c r="G17" s="143">
        <f>IFERROR(__xludf.DUMMYFUNCTION("""COMPUTED_VALUE"""),0.1066087962962963)</f>
        <v>0.1066087963</v>
      </c>
      <c r="H17" s="151"/>
      <c r="I17" s="140"/>
      <c r="J17" s="140"/>
      <c r="K17" s="140"/>
      <c r="L17" s="147">
        <f>IFERROR(__xludf.DUMMYFUNCTION("""COMPUTED_VALUE"""),2819070.0)</f>
        <v>2819070</v>
      </c>
      <c r="M17" s="148" t="str">
        <f>IFERROR(__xludf.DUMMYFUNCTION("""COMPUTED_VALUE"""),"How to Present and Stay on Point")</f>
        <v>How to Present and Stay on Point</v>
      </c>
      <c r="N17" s="147" t="str">
        <f>IFERROR(__xludf.DUMMYFUNCTION("""COMPUTED_VALUE"""),"General")</f>
        <v>General</v>
      </c>
      <c r="O17" s="141" t="str">
        <f>IFERROR(__xludf.DUMMYFUNCTION("""COMPUTED_VALUE"""),"Beginner")</f>
        <v>Beginner</v>
      </c>
      <c r="P17" s="143">
        <f>IFERROR(__xludf.DUMMYFUNCTION("""COMPUTED_VALUE"""),0.013587962962962963)</f>
        <v>0.01358796296</v>
      </c>
      <c r="Q17" s="151"/>
      <c r="R17" s="140"/>
      <c r="S17" s="140"/>
    </row>
    <row r="18" ht="33.75" customHeight="1">
      <c r="A18" s="140"/>
      <c r="B18" s="140"/>
      <c r="C18" s="147">
        <f>IFERROR(__xludf.DUMMYFUNCTION("""COMPUTED_VALUE"""),2823293.0)</f>
        <v>2823293</v>
      </c>
      <c r="D18" s="148" t="str">
        <f>IFERROR(__xludf.DUMMYFUNCTION("""COMPUTED_VALUE"""),"Workplace Visualization")</f>
        <v>Workplace Visualization</v>
      </c>
      <c r="E18" s="147" t="str">
        <f>IFERROR(__xludf.DUMMYFUNCTION("""COMPUTED_VALUE"""),"Manager")</f>
        <v>Manager</v>
      </c>
      <c r="F18" s="141" t="str">
        <f>IFERROR(__xludf.DUMMYFUNCTION("""COMPUTED_VALUE"""),"Beginner")</f>
        <v>Beginner</v>
      </c>
      <c r="G18" s="143">
        <f>IFERROR(__xludf.DUMMYFUNCTION("""COMPUTED_VALUE"""),0.0352662037037037)</f>
        <v>0.0352662037</v>
      </c>
      <c r="H18" s="151"/>
      <c r="I18" s="140"/>
      <c r="J18" s="140"/>
      <c r="K18" s="140"/>
      <c r="L18" s="147">
        <f>IFERROR(__xludf.DUMMYFUNCTION("""COMPUTED_VALUE"""),2824177.0)</f>
        <v>2824177</v>
      </c>
      <c r="M18" s="148" t="str">
        <f>IFERROR(__xludf.DUMMYFUNCTION("""COMPUTED_VALUE"""),"How to Project Vocal Confidence")</f>
        <v>How to Project Vocal Confidence</v>
      </c>
      <c r="N18" s="147" t="str">
        <f>IFERROR(__xludf.DUMMYFUNCTION("""COMPUTED_VALUE"""),"General")</f>
        <v>General</v>
      </c>
      <c r="O18" s="141" t="str">
        <f>IFERROR(__xludf.DUMMYFUNCTION("""COMPUTED_VALUE"""),"Beginner")</f>
        <v>Beginner</v>
      </c>
      <c r="P18" s="143">
        <f>IFERROR(__xludf.DUMMYFUNCTION("""COMPUTED_VALUE"""),0.0134375)</f>
        <v>0.0134375</v>
      </c>
      <c r="Q18" s="151"/>
      <c r="R18" s="140"/>
      <c r="S18" s="140"/>
    </row>
    <row r="19" ht="33.75" customHeight="1">
      <c r="A19" s="140"/>
      <c r="B19" s="140"/>
      <c r="C19" s="147">
        <f>IFERROR(__xludf.DUMMYFUNCTION("""COMPUTED_VALUE"""),2823296.0)</f>
        <v>2823296</v>
      </c>
      <c r="D19" s="148" t="str">
        <f>IFERROR(__xludf.DUMMYFUNCTION("""COMPUTED_VALUE"""),"Implementing Continuous Improvement: A Case Study")</f>
        <v>Implementing Continuous Improvement: A Case Study</v>
      </c>
      <c r="E19" s="147" t="str">
        <f>IFERROR(__xludf.DUMMYFUNCTION("""COMPUTED_VALUE"""),"Manager")</f>
        <v>Manager</v>
      </c>
      <c r="F19" s="141" t="str">
        <f>IFERROR(__xludf.DUMMYFUNCTION("""COMPUTED_VALUE"""),"Beginner")</f>
        <v>Beginner</v>
      </c>
      <c r="G19" s="143">
        <f>IFERROR(__xludf.DUMMYFUNCTION("""COMPUTED_VALUE"""),0.09167824074074074)</f>
        <v>0.09167824074</v>
      </c>
      <c r="H19" s="151"/>
      <c r="I19" s="140"/>
      <c r="J19" s="140"/>
      <c r="K19" s="140"/>
      <c r="L19" s="147">
        <f>IFERROR(__xludf.DUMMYFUNCTION("""COMPUTED_VALUE"""),2823568.0)</f>
        <v>2823568</v>
      </c>
      <c r="M19" s="148" t="str">
        <f>IFERROR(__xludf.DUMMYFUNCTION("""COMPUTED_VALUE"""),"How to Turn Your Entrepreneur Journey into a Successful Keynote Talk")</f>
        <v>How to Turn Your Entrepreneur Journey into a Successful Keynote Talk</v>
      </c>
      <c r="N19" s="147" t="str">
        <f>IFERROR(__xludf.DUMMYFUNCTION("""COMPUTED_VALUE"""),"General")</f>
        <v>General</v>
      </c>
      <c r="O19" s="141" t="str">
        <f>IFERROR(__xludf.DUMMYFUNCTION("""COMPUTED_VALUE"""),"Beginner")</f>
        <v>Beginner</v>
      </c>
      <c r="P19" s="143">
        <f>IFERROR(__xludf.DUMMYFUNCTION("""COMPUTED_VALUE"""),0.029837962962962962)</f>
        <v>0.02983796296</v>
      </c>
      <c r="Q19" s="151"/>
      <c r="R19" s="140"/>
      <c r="S19" s="140"/>
    </row>
    <row r="20" ht="33.75" customHeight="1">
      <c r="A20" s="140"/>
      <c r="B20" s="140"/>
      <c r="C20" s="147">
        <f>IFERROR(__xludf.DUMMYFUNCTION("""COMPUTED_VALUE"""),622078.0)</f>
        <v>622078</v>
      </c>
      <c r="D20" s="148" t="str">
        <f>IFERROR(__xludf.DUMMYFUNCTION("""COMPUTED_VALUE"""),"DevOps Foundations: Lean and Agile")</f>
        <v>DevOps Foundations: Lean and Agile</v>
      </c>
      <c r="E20" s="147" t="str">
        <f>IFERROR(__xludf.DUMMYFUNCTION("""COMPUTED_VALUE"""),"Manager")</f>
        <v>Manager</v>
      </c>
      <c r="F20" s="141" t="str">
        <f>IFERROR(__xludf.DUMMYFUNCTION("""COMPUTED_VALUE"""),"Intermediate")</f>
        <v>Intermediate</v>
      </c>
      <c r="G20" s="143">
        <f>IFERROR(__xludf.DUMMYFUNCTION("""COMPUTED_VALUE"""),0.05988425925925926)</f>
        <v>0.05988425926</v>
      </c>
      <c r="H20" s="151"/>
      <c r="I20" s="140"/>
      <c r="J20" s="140"/>
      <c r="K20" s="140"/>
      <c r="L20" s="147">
        <f>IFERROR(__xludf.DUMMYFUNCTION("""COMPUTED_VALUE"""),2875044.0)</f>
        <v>2875044</v>
      </c>
      <c r="M20" s="148" t="str">
        <f>IFERROR(__xludf.DUMMYFUNCTION("""COMPUTED_VALUE"""),"Speaking Confidently and Effectively")</f>
        <v>Speaking Confidently and Effectively</v>
      </c>
      <c r="N20" s="147" t="str">
        <f>IFERROR(__xludf.DUMMYFUNCTION("""COMPUTED_VALUE"""),"General")</f>
        <v>General</v>
      </c>
      <c r="O20" s="141" t="str">
        <f>IFERROR(__xludf.DUMMYFUNCTION("""COMPUTED_VALUE"""),"Beginner")</f>
        <v>Beginner</v>
      </c>
      <c r="P20" s="143">
        <f>IFERROR(__xludf.DUMMYFUNCTION("""COMPUTED_VALUE"""),0.015821759259259258)</f>
        <v>0.01582175926</v>
      </c>
      <c r="Q20" s="151"/>
      <c r="R20" s="140"/>
      <c r="S20" s="140"/>
    </row>
    <row r="21" ht="33.75" customHeight="1">
      <c r="A21" s="140"/>
      <c r="B21" s="140"/>
      <c r="C21" s="147">
        <f>IFERROR(__xludf.DUMMYFUNCTION("""COMPUTED_VALUE"""),2825263.0)</f>
        <v>2825263</v>
      </c>
      <c r="D21" s="148" t="str">
        <f>IFERROR(__xludf.DUMMYFUNCTION("""COMPUTED_VALUE"""),"DevOps Foundations: Accelerating Continuous Delivery in the Enterprise")</f>
        <v>DevOps Foundations: Accelerating Continuous Delivery in the Enterprise</v>
      </c>
      <c r="E21" s="147" t="str">
        <f>IFERROR(__xludf.DUMMYFUNCTION("""COMPUTED_VALUE"""),"Manager")</f>
        <v>Manager</v>
      </c>
      <c r="F21" s="141" t="str">
        <f>IFERROR(__xludf.DUMMYFUNCTION("""COMPUTED_VALUE"""),"Intermediate")</f>
        <v>Intermediate</v>
      </c>
      <c r="G21" s="143">
        <f>IFERROR(__xludf.DUMMYFUNCTION("""COMPUTED_VALUE"""),0.041226851851851855)</f>
        <v>0.04122685185</v>
      </c>
      <c r="H21" s="151"/>
      <c r="I21" s="140"/>
      <c r="J21" s="140"/>
      <c r="K21" s="140"/>
      <c r="L21" s="147">
        <f>IFERROR(__xludf.DUMMYFUNCTION("""COMPUTED_VALUE"""),2869052.0)</f>
        <v>2869052</v>
      </c>
      <c r="M21" s="148" t="str">
        <f>IFERROR(__xludf.DUMMYFUNCTION("""COMPUTED_VALUE"""),"Boosting Your Confidence, Public Speaking and Performance")</f>
        <v>Boosting Your Confidence, Public Speaking and Performance</v>
      </c>
      <c r="N21" s="147" t="str">
        <f>IFERROR(__xludf.DUMMYFUNCTION("""COMPUTED_VALUE"""),"General")</f>
        <v>General</v>
      </c>
      <c r="O21" s="141" t="str">
        <f>IFERROR(__xludf.DUMMYFUNCTION("""COMPUTED_VALUE"""),"Beginner")</f>
        <v>Beginner</v>
      </c>
      <c r="P21" s="143">
        <f>IFERROR(__xludf.DUMMYFUNCTION("""COMPUTED_VALUE"""),0.016886574074074075)</f>
        <v>0.01688657407</v>
      </c>
      <c r="Q21" s="151"/>
      <c r="R21" s="140"/>
      <c r="S21" s="140"/>
    </row>
    <row r="22" ht="33.75" customHeight="1">
      <c r="A22" s="140"/>
      <c r="B22" s="140"/>
      <c r="C22" s="147">
        <f>IFERROR(__xludf.DUMMYFUNCTION("""COMPUTED_VALUE"""),2244038.0)</f>
        <v>2244038</v>
      </c>
      <c r="D22" s="148" t="str">
        <f>IFERROR(__xludf.DUMMYFUNCTION("""COMPUTED_VALUE"""),"Microsoft Power Automate: Advanced Business Automation")</f>
        <v>Microsoft Power Automate: Advanced Business Automation</v>
      </c>
      <c r="E22" s="147" t="str">
        <f>IFERROR(__xludf.DUMMYFUNCTION("""COMPUTED_VALUE"""),"General")</f>
        <v>General</v>
      </c>
      <c r="F22" s="141" t="str">
        <f>IFERROR(__xludf.DUMMYFUNCTION("""COMPUTED_VALUE"""),"Advanced")</f>
        <v>Advanced</v>
      </c>
      <c r="G22" s="143">
        <f>IFERROR(__xludf.DUMMYFUNCTION("""COMPUTED_VALUE"""),0.045613425925925925)</f>
        <v>0.04561342593</v>
      </c>
      <c r="H22" s="151"/>
      <c r="I22" s="140"/>
      <c r="J22" s="140"/>
      <c r="K22" s="140"/>
      <c r="L22" s="147">
        <f>IFERROR(__xludf.DUMMYFUNCTION("""COMPUTED_VALUE"""),3119090.0)</f>
        <v>3119090</v>
      </c>
      <c r="M22" s="148" t="str">
        <f>IFERROR(__xludf.DUMMYFUNCTION("""COMPUTED_VALUE"""),"Stepping Up Your Webcam Video Presence")</f>
        <v>Stepping Up Your Webcam Video Presence</v>
      </c>
      <c r="N22" s="147" t="str">
        <f>IFERROR(__xludf.DUMMYFUNCTION("""COMPUTED_VALUE"""),"General")</f>
        <v>General</v>
      </c>
      <c r="O22" s="141" t="str">
        <f>IFERROR(__xludf.DUMMYFUNCTION("""COMPUTED_VALUE"""),"Beginner")</f>
        <v>Beginner</v>
      </c>
      <c r="P22" s="143">
        <f>IFERROR(__xludf.DUMMYFUNCTION("""COMPUTED_VALUE"""),0.028680555555555556)</f>
        <v>0.02868055556</v>
      </c>
      <c r="Q22" s="151"/>
      <c r="R22" s="140"/>
      <c r="S22" s="140"/>
    </row>
    <row r="23" ht="33.75" customHeight="1">
      <c r="A23" s="140"/>
      <c r="B23" s="140"/>
      <c r="C23" s="147">
        <f>IFERROR(__xludf.DUMMYFUNCTION("""COMPUTED_VALUE"""),2831004.0)</f>
        <v>2831004</v>
      </c>
      <c r="D23" s="148" t="str">
        <f>IFERROR(__xludf.DUMMYFUNCTION("""COMPUTED_VALUE"""),"Mastering Organizational Chaos")</f>
        <v>Mastering Organizational Chaos</v>
      </c>
      <c r="E23" s="147" t="str">
        <f>IFERROR(__xludf.DUMMYFUNCTION("""COMPUTED_VALUE"""),"General")</f>
        <v>General</v>
      </c>
      <c r="F23" s="141" t="str">
        <f>IFERROR(__xludf.DUMMYFUNCTION("""COMPUTED_VALUE"""),"Advanced")</f>
        <v>Advanced</v>
      </c>
      <c r="G23" s="143">
        <f>IFERROR(__xludf.DUMMYFUNCTION("""COMPUTED_VALUE"""),0.02556712962962963)</f>
        <v>0.02556712963</v>
      </c>
      <c r="H23" s="151"/>
      <c r="I23" s="140"/>
      <c r="J23" s="140"/>
      <c r="K23" s="140"/>
      <c r="L23" s="147">
        <f>IFERROR(__xludf.DUMMYFUNCTION("""COMPUTED_VALUE"""),2885049.0)</f>
        <v>2885049</v>
      </c>
      <c r="M23" s="148" t="str">
        <f>IFERROR(__xludf.DUMMYFUNCTION("""COMPUTED_VALUE"""),"Learning Lucidchart")</f>
        <v>Learning Lucidchart</v>
      </c>
      <c r="N23" s="147" t="str">
        <f>IFERROR(__xludf.DUMMYFUNCTION("""COMPUTED_VALUE"""),"General")</f>
        <v>General</v>
      </c>
      <c r="O23" s="141" t="str">
        <f>IFERROR(__xludf.DUMMYFUNCTION("""COMPUTED_VALUE"""),"Beginner")</f>
        <v>Beginner</v>
      </c>
      <c r="P23" s="143">
        <f>IFERROR(__xludf.DUMMYFUNCTION("""COMPUTED_VALUE"""),0.05087962962962963)</f>
        <v>0.05087962963</v>
      </c>
      <c r="Q23" s="151"/>
      <c r="R23" s="140"/>
      <c r="S23" s="140"/>
    </row>
    <row r="24" ht="33.75" customHeight="1">
      <c r="A24" s="140"/>
      <c r="B24" s="140"/>
      <c r="C24" s="147">
        <f>IFERROR(__xludf.DUMMYFUNCTION("""COMPUTED_VALUE"""),2801188.0)</f>
        <v>2801188</v>
      </c>
      <c r="D24" s="148" t="str">
        <f>IFERROR(__xludf.DUMMYFUNCTION("""COMPUTED_VALUE"""),"A3 Problem Solving for Continuous Improvement")</f>
        <v>A3 Problem Solving for Continuous Improvement</v>
      </c>
      <c r="E24" s="147" t="str">
        <f>IFERROR(__xludf.DUMMYFUNCTION("""COMPUTED_VALUE"""),"General")</f>
        <v>General</v>
      </c>
      <c r="F24" s="141" t="str">
        <f>IFERROR(__xludf.DUMMYFUNCTION("""COMPUTED_VALUE"""),"Beginner")</f>
        <v>Beginner</v>
      </c>
      <c r="G24" s="143">
        <f>IFERROR(__xludf.DUMMYFUNCTION("""COMPUTED_VALUE"""),0.028483796296296295)</f>
        <v>0.0284837963</v>
      </c>
      <c r="H24" s="151"/>
      <c r="I24" s="140"/>
      <c r="J24" s="140"/>
      <c r="K24" s="140"/>
      <c r="L24" s="147">
        <f>IFERROR(__xludf.DUMMYFUNCTION("""COMPUTED_VALUE"""),2887137.0)</f>
        <v>2887137</v>
      </c>
      <c r="M24" s="148" t="str">
        <f>IFERROR(__xludf.DUMMYFUNCTION("""COMPUTED_VALUE"""),"Producing Screencast Videos on a PC")</f>
        <v>Producing Screencast Videos on a PC</v>
      </c>
      <c r="N24" s="147" t="str">
        <f>IFERROR(__xludf.DUMMYFUNCTION("""COMPUTED_VALUE"""),"General")</f>
        <v>General</v>
      </c>
      <c r="O24" s="141" t="str">
        <f>IFERROR(__xludf.DUMMYFUNCTION("""COMPUTED_VALUE"""),"Beginner")</f>
        <v>Beginner</v>
      </c>
      <c r="P24" s="143">
        <f>IFERROR(__xludf.DUMMYFUNCTION("""COMPUTED_VALUE"""),0.10951388888888888)</f>
        <v>0.1095138889</v>
      </c>
      <c r="Q24" s="151"/>
      <c r="R24" s="140"/>
      <c r="S24" s="140"/>
    </row>
    <row r="25" ht="33.75" customHeight="1">
      <c r="A25" s="140"/>
      <c r="B25" s="140"/>
      <c r="C25" s="147">
        <f>IFERROR(__xludf.DUMMYFUNCTION("""COMPUTED_VALUE"""),2811714.0)</f>
        <v>2811714</v>
      </c>
      <c r="D25" s="148" t="str">
        <f>IFERROR(__xludf.DUMMYFUNCTION("""COMPUTED_VALUE"""),"Cost Reduction: Cut Costs and Maximize Profits")</f>
        <v>Cost Reduction: Cut Costs and Maximize Profits</v>
      </c>
      <c r="E25" s="147" t="str">
        <f>IFERROR(__xludf.DUMMYFUNCTION("""COMPUTED_VALUE"""),"General")</f>
        <v>General</v>
      </c>
      <c r="F25" s="141" t="str">
        <f>IFERROR(__xludf.DUMMYFUNCTION("""COMPUTED_VALUE"""),"Beginner")</f>
        <v>Beginner</v>
      </c>
      <c r="G25" s="143">
        <f>IFERROR(__xludf.DUMMYFUNCTION("""COMPUTED_VALUE"""),0.096875)</f>
        <v>0.096875</v>
      </c>
      <c r="H25" s="151"/>
      <c r="I25" s="140"/>
      <c r="J25" s="140"/>
      <c r="K25" s="140"/>
      <c r="L25" s="147">
        <f>IFERROR(__xludf.DUMMYFUNCTION("""COMPUTED_VALUE"""),2887216.0)</f>
        <v>2887216</v>
      </c>
      <c r="M25" s="148" t="str">
        <f>IFERROR(__xludf.DUMMYFUNCTION("""COMPUTED_VALUE"""),"Business Analysis: Essential Facilitation and Workshop Skills")</f>
        <v>Business Analysis: Essential Facilitation and Workshop Skills</v>
      </c>
      <c r="N25" s="147" t="str">
        <f>IFERROR(__xludf.DUMMYFUNCTION("""COMPUTED_VALUE"""),"General")</f>
        <v>General</v>
      </c>
      <c r="O25" s="141" t="str">
        <f>IFERROR(__xludf.DUMMYFUNCTION("""COMPUTED_VALUE"""),"Beginner + Intermediate")</f>
        <v>Beginner + Intermediate</v>
      </c>
      <c r="P25" s="143">
        <f>IFERROR(__xludf.DUMMYFUNCTION("""COMPUTED_VALUE"""),0.03712962962962963)</f>
        <v>0.03712962963</v>
      </c>
      <c r="Q25" s="151"/>
      <c r="R25" s="140"/>
      <c r="S25" s="140"/>
    </row>
    <row r="26" ht="33.75" customHeight="1">
      <c r="A26" s="140"/>
      <c r="B26" s="140"/>
      <c r="C26" s="147">
        <f>IFERROR(__xludf.DUMMYFUNCTION("""COMPUTED_VALUE"""),508618.0)</f>
        <v>508618</v>
      </c>
      <c r="D26" s="148" t="str">
        <f>IFERROR(__xludf.DUMMYFUNCTION("""COMPUTED_VALUE"""),"DevOps Foundations")</f>
        <v>DevOps Foundations</v>
      </c>
      <c r="E26" s="147" t="str">
        <f>IFERROR(__xludf.DUMMYFUNCTION("""COMPUTED_VALUE"""),"General")</f>
        <v>General</v>
      </c>
      <c r="F26" s="141" t="str">
        <f>IFERROR(__xludf.DUMMYFUNCTION("""COMPUTED_VALUE"""),"Beginner")</f>
        <v>Beginner</v>
      </c>
      <c r="G26" s="143">
        <f>IFERROR(__xludf.DUMMYFUNCTION("""COMPUTED_VALUE"""),0.11604166666666667)</f>
        <v>0.1160416667</v>
      </c>
      <c r="H26" s="151"/>
      <c r="I26" s="140"/>
      <c r="J26" s="140"/>
      <c r="K26" s="140"/>
      <c r="L26" s="147">
        <f>IFERROR(__xludf.DUMMYFUNCTION("""COMPUTED_VALUE"""),2875303.0)</f>
        <v>2875303</v>
      </c>
      <c r="M26" s="148" t="str">
        <f>IFERROR(__xludf.DUMMYFUNCTION("""COMPUTED_VALUE"""),"Engaging Your Virtual Audience")</f>
        <v>Engaging Your Virtual Audience</v>
      </c>
      <c r="N26" s="147" t="str">
        <f>IFERROR(__xludf.DUMMYFUNCTION("""COMPUTED_VALUE"""),"General")</f>
        <v>General</v>
      </c>
      <c r="O26" s="141" t="str">
        <f>IFERROR(__xludf.DUMMYFUNCTION("""COMPUTED_VALUE"""),"Beginner + Intermediate")</f>
        <v>Beginner + Intermediate</v>
      </c>
      <c r="P26" s="143">
        <f>IFERROR(__xludf.DUMMYFUNCTION("""COMPUTED_VALUE"""),0.02445601851851852)</f>
        <v>0.02445601852</v>
      </c>
      <c r="Q26" s="151"/>
      <c r="R26" s="140"/>
      <c r="S26" s="140"/>
    </row>
    <row r="27" ht="33.75" customHeight="1">
      <c r="A27" s="140"/>
      <c r="B27" s="140"/>
      <c r="C27" s="147">
        <f>IFERROR(__xludf.DUMMYFUNCTION("""COMPUTED_VALUE"""),731733.0)</f>
        <v>731733</v>
      </c>
      <c r="D27" s="148" t="str">
        <f>IFERROR(__xludf.DUMMYFUNCTION("""COMPUTED_VALUE"""),"Inventory Management Foundations")</f>
        <v>Inventory Management Foundations</v>
      </c>
      <c r="E27" s="147" t="str">
        <f>IFERROR(__xludf.DUMMYFUNCTION("""COMPUTED_VALUE"""),"General")</f>
        <v>General</v>
      </c>
      <c r="F27" s="141" t="str">
        <f>IFERROR(__xludf.DUMMYFUNCTION("""COMPUTED_VALUE"""),"Beginner")</f>
        <v>Beginner</v>
      </c>
      <c r="G27" s="143">
        <f>IFERROR(__xludf.DUMMYFUNCTION("""COMPUTED_VALUE"""),0.05555555555555555)</f>
        <v>0.05555555556</v>
      </c>
      <c r="H27" s="151"/>
      <c r="I27" s="140"/>
      <c r="J27" s="140"/>
      <c r="K27" s="140"/>
      <c r="L27" s="147">
        <f>IFERROR(__xludf.DUMMYFUNCTION("""COMPUTED_VALUE"""),2816032.0)</f>
        <v>2816032</v>
      </c>
      <c r="M27" s="148" t="str">
        <f>IFERROR(__xludf.DUMMYFUNCTION("""COMPUTED_VALUE"""),"Presenting Technical Information with Stories")</f>
        <v>Presenting Technical Information with Stories</v>
      </c>
      <c r="N27" s="147" t="str">
        <f>IFERROR(__xludf.DUMMYFUNCTION("""COMPUTED_VALUE"""),"General")</f>
        <v>General</v>
      </c>
      <c r="O27" s="141" t="str">
        <f>IFERROR(__xludf.DUMMYFUNCTION("""COMPUTED_VALUE"""),"Beginner + Intermediate")</f>
        <v>Beginner + Intermediate</v>
      </c>
      <c r="P27" s="143">
        <f>IFERROR(__xludf.DUMMYFUNCTION("""COMPUTED_VALUE"""),0.021828703703703704)</f>
        <v>0.0218287037</v>
      </c>
      <c r="Q27" s="151"/>
      <c r="R27" s="140"/>
      <c r="S27" s="140"/>
    </row>
    <row r="28" ht="33.75" customHeight="1">
      <c r="A28" s="140"/>
      <c r="B28" s="140"/>
      <c r="C28" s="147">
        <f>IFERROR(__xludf.DUMMYFUNCTION("""COMPUTED_VALUE"""),774896.0)</f>
        <v>774896</v>
      </c>
      <c r="D28" s="148" t="str">
        <f>IFERROR(__xludf.DUMMYFUNCTION("""COMPUTED_VALUE"""),"Job Skills: Supply Chain and Operations")</f>
        <v>Job Skills: Supply Chain and Operations</v>
      </c>
      <c r="E28" s="147" t="str">
        <f>IFERROR(__xludf.DUMMYFUNCTION("""COMPUTED_VALUE"""),"General")</f>
        <v>General</v>
      </c>
      <c r="F28" s="141" t="str">
        <f>IFERROR(__xludf.DUMMYFUNCTION("""COMPUTED_VALUE"""),"Beginner")</f>
        <v>Beginner</v>
      </c>
      <c r="G28" s="143">
        <f>IFERROR(__xludf.DUMMYFUNCTION("""COMPUTED_VALUE"""),0.022268518518518517)</f>
        <v>0.02226851852</v>
      </c>
      <c r="H28" s="151"/>
      <c r="I28" s="140"/>
      <c r="J28" s="140"/>
      <c r="K28" s="140"/>
      <c r="L28" s="147">
        <f>IFERROR(__xludf.DUMMYFUNCTION("""COMPUTED_VALUE"""),740357.0)</f>
        <v>740357</v>
      </c>
      <c r="M28" s="148" t="str">
        <f>IFERROR(__xludf.DUMMYFUNCTION("""COMPUTED_VALUE"""),"PowerPoint 2019 Essential Training")</f>
        <v>PowerPoint 2019 Essential Training</v>
      </c>
      <c r="N28" s="147" t="str">
        <f>IFERROR(__xludf.DUMMYFUNCTION("""COMPUTED_VALUE"""),"General")</f>
        <v>General</v>
      </c>
      <c r="O28" s="141" t="str">
        <f>IFERROR(__xludf.DUMMYFUNCTION("""COMPUTED_VALUE"""),"Beginner + Intermediate")</f>
        <v>Beginner + Intermediate</v>
      </c>
      <c r="P28" s="143">
        <f>IFERROR(__xludf.DUMMYFUNCTION("""COMPUTED_VALUE"""),0.08483796296296296)</f>
        <v>0.08483796296</v>
      </c>
      <c r="Q28" s="151"/>
      <c r="R28" s="140"/>
      <c r="S28" s="140"/>
    </row>
    <row r="29" ht="33.75" customHeight="1">
      <c r="A29" s="140"/>
      <c r="B29" s="140"/>
      <c r="C29" s="147">
        <f>IFERROR(__xludf.DUMMYFUNCTION("""COMPUTED_VALUE"""),590824.0)</f>
        <v>590824</v>
      </c>
      <c r="D29" s="148" t="str">
        <f>IFERROR(__xludf.DUMMYFUNCTION("""COMPUTED_VALUE"""),"Lean Foundations")</f>
        <v>Lean Foundations</v>
      </c>
      <c r="E29" s="147" t="str">
        <f>IFERROR(__xludf.DUMMYFUNCTION("""COMPUTED_VALUE"""),"General")</f>
        <v>General</v>
      </c>
      <c r="F29" s="141" t="str">
        <f>IFERROR(__xludf.DUMMYFUNCTION("""COMPUTED_VALUE"""),"Beginner")</f>
        <v>Beginner</v>
      </c>
      <c r="G29" s="143">
        <f>IFERROR(__xludf.DUMMYFUNCTION("""COMPUTED_VALUE"""),0.06707175925925926)</f>
        <v>0.06707175926</v>
      </c>
      <c r="H29" s="151"/>
      <c r="I29" s="140"/>
      <c r="J29" s="140"/>
      <c r="K29" s="140"/>
      <c r="L29" s="147">
        <f>IFERROR(__xludf.DUMMYFUNCTION("""COMPUTED_VALUE"""),696325.0)</f>
        <v>696325</v>
      </c>
      <c r="M29" s="148" t="str">
        <f>IFERROR(__xludf.DUMMYFUNCTION("""COMPUTED_VALUE"""),"Impromptu Speaking")</f>
        <v>Impromptu Speaking</v>
      </c>
      <c r="N29" s="147" t="str">
        <f>IFERROR(__xludf.DUMMYFUNCTION("""COMPUTED_VALUE"""),"General")</f>
        <v>General</v>
      </c>
      <c r="O29" s="141" t="str">
        <f>IFERROR(__xludf.DUMMYFUNCTION("""COMPUTED_VALUE"""),"Beginner + Intermediate")</f>
        <v>Beginner + Intermediate</v>
      </c>
      <c r="P29" s="143">
        <f>IFERROR(__xludf.DUMMYFUNCTION("""COMPUTED_VALUE"""),0.015555555555555555)</f>
        <v>0.01555555556</v>
      </c>
      <c r="Q29" s="151"/>
      <c r="R29" s="140"/>
      <c r="S29" s="140"/>
    </row>
    <row r="30" ht="33.75" customHeight="1">
      <c r="A30" s="140"/>
      <c r="B30" s="140"/>
      <c r="C30" s="147">
        <f>IFERROR(__xludf.DUMMYFUNCTION("""COMPUTED_VALUE"""),731734.0)</f>
        <v>731734</v>
      </c>
      <c r="D30" s="148" t="str">
        <f>IFERROR(__xludf.DUMMYFUNCTION("""COMPUTED_VALUE"""),"Lean Inventory Management")</f>
        <v>Lean Inventory Management</v>
      </c>
      <c r="E30" s="147" t="str">
        <f>IFERROR(__xludf.DUMMYFUNCTION("""COMPUTED_VALUE"""),"General")</f>
        <v>General</v>
      </c>
      <c r="F30" s="141" t="str">
        <f>IFERROR(__xludf.DUMMYFUNCTION("""COMPUTED_VALUE"""),"Beginner")</f>
        <v>Beginner</v>
      </c>
      <c r="G30" s="143">
        <f>IFERROR(__xludf.DUMMYFUNCTION("""COMPUTED_VALUE"""),0.04833333333333333)</f>
        <v>0.04833333333</v>
      </c>
      <c r="H30" s="151"/>
      <c r="I30" s="140"/>
      <c r="J30" s="140"/>
      <c r="K30" s="140"/>
      <c r="L30" s="147">
        <f>IFERROR(__xludf.DUMMYFUNCTION("""COMPUTED_VALUE"""),2853006.0)</f>
        <v>2853006</v>
      </c>
      <c r="M30" s="148" t="str">
        <f>IFERROR(__xludf.DUMMYFUNCTION("""COMPUTED_VALUE"""),"PowerPoint: Eight Easy Ways to Make Your Presentation Stand Out")</f>
        <v>PowerPoint: Eight Easy Ways to Make Your Presentation Stand Out</v>
      </c>
      <c r="N30" s="147" t="str">
        <f>IFERROR(__xludf.DUMMYFUNCTION("""COMPUTED_VALUE"""),"General")</f>
        <v>General</v>
      </c>
      <c r="O30" s="141" t="str">
        <f>IFERROR(__xludf.DUMMYFUNCTION("""COMPUTED_VALUE"""),"Intermediate")</f>
        <v>Intermediate</v>
      </c>
      <c r="P30" s="143">
        <f>IFERROR(__xludf.DUMMYFUNCTION("""COMPUTED_VALUE"""),0.025590277777777778)</f>
        <v>0.02559027778</v>
      </c>
      <c r="Q30" s="151"/>
      <c r="R30" s="140"/>
      <c r="S30" s="140"/>
    </row>
    <row r="31" ht="33.75" customHeight="1">
      <c r="A31" s="140"/>
      <c r="B31" s="140"/>
      <c r="C31" s="147">
        <f>IFERROR(__xludf.DUMMYFUNCTION("""COMPUTED_VALUE"""),386880.0)</f>
        <v>386880</v>
      </c>
      <c r="D31" s="148" t="str">
        <f>IFERROR(__xludf.DUMMYFUNCTION("""COMPUTED_VALUE"""),"Lean Six Sigma Foundations")</f>
        <v>Lean Six Sigma Foundations</v>
      </c>
      <c r="E31" s="147" t="str">
        <f>IFERROR(__xludf.DUMMYFUNCTION("""COMPUTED_VALUE"""),"General")</f>
        <v>General</v>
      </c>
      <c r="F31" s="141" t="str">
        <f>IFERROR(__xludf.DUMMYFUNCTION("""COMPUTED_VALUE"""),"Beginner")</f>
        <v>Beginner</v>
      </c>
      <c r="G31" s="143">
        <f>IFERROR(__xludf.DUMMYFUNCTION("""COMPUTED_VALUE"""),0.048726851851851855)</f>
        <v>0.04872685185</v>
      </c>
      <c r="H31" s="151"/>
      <c r="I31" s="140"/>
      <c r="J31" s="140"/>
      <c r="K31" s="140"/>
      <c r="L31" s="147">
        <f>IFERROR(__xludf.DUMMYFUNCTION("""COMPUTED_VALUE"""),2841294.0)</f>
        <v>2841294</v>
      </c>
      <c r="M31" s="148" t="str">
        <f>IFERROR(__xludf.DUMMYFUNCTION("""COMPUTED_VALUE"""),"Data-Driven Presentations with Excel and PowerPoint (365/2019)")</f>
        <v>Data-Driven Presentations with Excel and PowerPoint (365/2019)</v>
      </c>
      <c r="N31" s="147" t="str">
        <f>IFERROR(__xludf.DUMMYFUNCTION("""COMPUTED_VALUE"""),"General")</f>
        <v>General</v>
      </c>
      <c r="O31" s="141" t="str">
        <f>IFERROR(__xludf.DUMMYFUNCTION("""COMPUTED_VALUE"""),"Intermediate")</f>
        <v>Intermediate</v>
      </c>
      <c r="P31" s="143">
        <f>IFERROR(__xludf.DUMMYFUNCTION("""COMPUTED_VALUE"""),0.07296296296296297)</f>
        <v>0.07296296296</v>
      </c>
      <c r="Q31" s="151"/>
      <c r="R31" s="140"/>
      <c r="S31" s="140"/>
    </row>
    <row r="32" ht="33.75" customHeight="1">
      <c r="A32" s="140"/>
      <c r="B32" s="140"/>
      <c r="C32" s="147">
        <f>IFERROR(__xludf.DUMMYFUNCTION("""COMPUTED_VALUE"""),196589.0)</f>
        <v>196589</v>
      </c>
      <c r="D32" s="148" t="str">
        <f>IFERROR(__xludf.DUMMYFUNCTION("""COMPUTED_VALUE"""),"Operations Management Foundations")</f>
        <v>Operations Management Foundations</v>
      </c>
      <c r="E32" s="147" t="str">
        <f>IFERROR(__xludf.DUMMYFUNCTION("""COMPUTED_VALUE"""),"General")</f>
        <v>General</v>
      </c>
      <c r="F32" s="141" t="str">
        <f>IFERROR(__xludf.DUMMYFUNCTION("""COMPUTED_VALUE"""),"Beginner")</f>
        <v>Beginner</v>
      </c>
      <c r="G32" s="143">
        <f>IFERROR(__xludf.DUMMYFUNCTION("""COMPUTED_VALUE"""),0.08626157407407407)</f>
        <v>0.08626157407</v>
      </c>
      <c r="H32" s="151"/>
      <c r="I32" s="140"/>
      <c r="J32" s="140"/>
      <c r="K32" s="140"/>
      <c r="L32" s="147">
        <f>IFERROR(__xludf.DUMMYFUNCTION("""COMPUTED_VALUE"""),151544.0)</f>
        <v>151544</v>
      </c>
      <c r="M32" s="148" t="str">
        <f>IFERROR(__xludf.DUMMYFUNCTION("""COMPUTED_VALUE"""),"Creating and Giving Business Presentations")</f>
        <v>Creating and Giving Business Presentations</v>
      </c>
      <c r="N32" s="147" t="str">
        <f>IFERROR(__xludf.DUMMYFUNCTION("""COMPUTED_VALUE"""),"General")</f>
        <v>General</v>
      </c>
      <c r="O32" s="141" t="str">
        <f>IFERROR(__xludf.DUMMYFUNCTION("""COMPUTED_VALUE"""),"Intermediate")</f>
        <v>Intermediate</v>
      </c>
      <c r="P32" s="143">
        <f>IFERROR(__xludf.DUMMYFUNCTION("""COMPUTED_VALUE"""),0.05296296296296296)</f>
        <v>0.05296296296</v>
      </c>
      <c r="Q32" s="151"/>
      <c r="R32" s="140"/>
      <c r="S32" s="140"/>
    </row>
    <row r="33" ht="33.75" customHeight="1">
      <c r="A33" s="140"/>
      <c r="B33" s="140"/>
      <c r="C33" s="147">
        <f>IFERROR(__xludf.DUMMYFUNCTION("""COMPUTED_VALUE"""),365729.0)</f>
        <v>365729</v>
      </c>
      <c r="D33" s="148" t="str">
        <f>IFERROR(__xludf.DUMMYFUNCTION("""COMPUTED_VALUE"""),"Process Improvement Foundations")</f>
        <v>Process Improvement Foundations</v>
      </c>
      <c r="E33" s="147" t="str">
        <f>IFERROR(__xludf.DUMMYFUNCTION("""COMPUTED_VALUE"""),"General")</f>
        <v>General</v>
      </c>
      <c r="F33" s="141" t="str">
        <f>IFERROR(__xludf.DUMMYFUNCTION("""COMPUTED_VALUE"""),"Beginner")</f>
        <v>Beginner</v>
      </c>
      <c r="G33" s="143">
        <f>IFERROR(__xludf.DUMMYFUNCTION("""COMPUTED_VALUE"""),0.05466435185185185)</f>
        <v>0.05466435185</v>
      </c>
      <c r="H33" s="151"/>
      <c r="I33" s="140"/>
      <c r="J33" s="140"/>
      <c r="K33" s="140"/>
      <c r="L33" s="147">
        <f>IFERROR(__xludf.DUMMYFUNCTION("""COMPUTED_VALUE"""),415362.0)</f>
        <v>415362</v>
      </c>
      <c r="M33" s="148" t="str">
        <f>IFERROR(__xludf.DUMMYFUNCTION("""COMPUTED_VALUE"""),"Making Great Sales Presentations")</f>
        <v>Making Great Sales Presentations</v>
      </c>
      <c r="N33" s="147" t="str">
        <f>IFERROR(__xludf.DUMMYFUNCTION("""COMPUTED_VALUE"""),"General")</f>
        <v>General</v>
      </c>
      <c r="O33" s="141" t="str">
        <f>IFERROR(__xludf.DUMMYFUNCTION("""COMPUTED_VALUE"""),"Intermediate")</f>
        <v>Intermediate</v>
      </c>
      <c r="P33" s="143">
        <f>IFERROR(__xludf.DUMMYFUNCTION("""COMPUTED_VALUE"""),0.022349537037037036)</f>
        <v>0.02234953704</v>
      </c>
      <c r="Q33" s="151"/>
      <c r="R33" s="140"/>
      <c r="S33" s="140"/>
    </row>
    <row r="34" ht="33.75" customHeight="1">
      <c r="A34" s="140"/>
      <c r="B34" s="140"/>
      <c r="C34" s="147">
        <f>IFERROR(__xludf.DUMMYFUNCTION("""COMPUTED_VALUE"""),181730.0)</f>
        <v>181730</v>
      </c>
      <c r="D34" s="148" t="str">
        <f>IFERROR(__xludf.DUMMYFUNCTION("""COMPUTED_VALUE"""),"Supply Chain Foundations")</f>
        <v>Supply Chain Foundations</v>
      </c>
      <c r="E34" s="147" t="str">
        <f>IFERROR(__xludf.DUMMYFUNCTION("""COMPUTED_VALUE"""),"General")</f>
        <v>General</v>
      </c>
      <c r="F34" s="141" t="str">
        <f>IFERROR(__xludf.DUMMYFUNCTION("""COMPUTED_VALUE"""),"Beginner")</f>
        <v>Beginner</v>
      </c>
      <c r="G34" s="143">
        <f>IFERROR(__xludf.DUMMYFUNCTION("""COMPUTED_VALUE"""),0.06466435185185185)</f>
        <v>0.06466435185</v>
      </c>
      <c r="H34" s="151"/>
      <c r="I34" s="140"/>
      <c r="J34" s="140"/>
      <c r="K34" s="140"/>
      <c r="L34" s="147">
        <f>IFERROR(__xludf.DUMMYFUNCTION("""COMPUTED_VALUE"""),758613.0)</f>
        <v>758613</v>
      </c>
      <c r="M34" s="148" t="str">
        <f>IFERROR(__xludf.DUMMYFUNCTION("""COMPUTED_VALUE"""),"Meeting Facilitation")</f>
        <v>Meeting Facilitation</v>
      </c>
      <c r="N34" s="147" t="str">
        <f>IFERROR(__xludf.DUMMYFUNCTION("""COMPUTED_VALUE"""),"General")</f>
        <v>General</v>
      </c>
      <c r="O34" s="141" t="str">
        <f>IFERROR(__xludf.DUMMYFUNCTION("""COMPUTED_VALUE"""),"Intermediate")</f>
        <v>Intermediate</v>
      </c>
      <c r="P34" s="143">
        <f>IFERROR(__xludf.DUMMYFUNCTION("""COMPUTED_VALUE"""),0.02309027777777778)</f>
        <v>0.02309027778</v>
      </c>
      <c r="Q34" s="151"/>
      <c r="R34" s="140"/>
      <c r="S34" s="140"/>
    </row>
    <row r="35" ht="33.75" customHeight="1">
      <c r="A35" s="140"/>
      <c r="B35" s="140"/>
      <c r="C35" s="147">
        <f>IFERROR(__xludf.DUMMYFUNCTION("""COMPUTED_VALUE"""),2804664.0)</f>
        <v>2804664</v>
      </c>
      <c r="D35" s="148" t="str">
        <f>IFERROR(__xludf.DUMMYFUNCTION("""COMPUTED_VALUE"""),"Introducing AI to Your Organization")</f>
        <v>Introducing AI to Your Organization</v>
      </c>
      <c r="E35" s="147" t="str">
        <f>IFERROR(__xludf.DUMMYFUNCTION("""COMPUTED_VALUE"""),"General")</f>
        <v>General</v>
      </c>
      <c r="F35" s="141" t="str">
        <f>IFERROR(__xludf.DUMMYFUNCTION("""COMPUTED_VALUE"""),"Beginner")</f>
        <v>Beginner</v>
      </c>
      <c r="G35" s="143">
        <f>IFERROR(__xludf.DUMMYFUNCTION("""COMPUTED_VALUE"""),0.03709490740740741)</f>
        <v>0.03709490741</v>
      </c>
      <c r="H35" s="151"/>
      <c r="I35" s="140"/>
      <c r="J35" s="140"/>
      <c r="K35" s="140"/>
      <c r="L35" s="147">
        <f>IFERROR(__xludf.DUMMYFUNCTION("""COMPUTED_VALUE"""),743144.0)</f>
        <v>743144</v>
      </c>
      <c r="M35" s="148" t="str">
        <f>IFERROR(__xludf.DUMMYFUNCTION("""COMPUTED_VALUE"""),"Preparing for Successful Communication")</f>
        <v>Preparing for Successful Communication</v>
      </c>
      <c r="N35" s="147" t="str">
        <f>IFERROR(__xludf.DUMMYFUNCTION("""COMPUTED_VALUE"""),"General")</f>
        <v>General</v>
      </c>
      <c r="O35" s="141" t="str">
        <f>IFERROR(__xludf.DUMMYFUNCTION("""COMPUTED_VALUE"""),"Intermediate")</f>
        <v>Intermediate</v>
      </c>
      <c r="P35" s="143">
        <f>IFERROR(__xludf.DUMMYFUNCTION("""COMPUTED_VALUE"""),0.044270833333333336)</f>
        <v>0.04427083333</v>
      </c>
      <c r="Q35" s="151"/>
      <c r="R35" s="140"/>
      <c r="S35" s="140"/>
    </row>
    <row r="36" ht="33.75" customHeight="1">
      <c r="A36" s="140"/>
      <c r="B36" s="140"/>
      <c r="C36" s="147">
        <f>IFERROR(__xludf.DUMMYFUNCTION("""COMPUTED_VALUE"""),2813303.0)</f>
        <v>2813303</v>
      </c>
      <c r="D36" s="148" t="str">
        <f>IFERROR(__xludf.DUMMYFUNCTION("""COMPUTED_VALUE"""),"Understanding Business")</f>
        <v>Understanding Business</v>
      </c>
      <c r="E36" s="147" t="str">
        <f>IFERROR(__xludf.DUMMYFUNCTION("""COMPUTED_VALUE"""),"General")</f>
        <v>General</v>
      </c>
      <c r="F36" s="141" t="str">
        <f>IFERROR(__xludf.DUMMYFUNCTION("""COMPUTED_VALUE"""),"Beginner")</f>
        <v>Beginner</v>
      </c>
      <c r="G36" s="143">
        <f>IFERROR(__xludf.DUMMYFUNCTION("""COMPUTED_VALUE"""),0.030428240740740742)</f>
        <v>0.03042824074</v>
      </c>
      <c r="H36" s="151"/>
      <c r="I36" s="140"/>
      <c r="J36" s="140"/>
      <c r="K36" s="140"/>
      <c r="L36" s="147">
        <f>IFERROR(__xludf.DUMMYFUNCTION("""COMPUTED_VALUE"""),3009139.0)</f>
        <v>3009139</v>
      </c>
      <c r="M36" s="148" t="str">
        <f>IFERROR(__xludf.DUMMYFUNCTION("""COMPUTED_VALUE"""),"Visual Storytelling in PowerPoint")</f>
        <v>Visual Storytelling in PowerPoint</v>
      </c>
      <c r="N36" s="147" t="str">
        <f>IFERROR(__xludf.DUMMYFUNCTION("""COMPUTED_VALUE"""),"General")</f>
        <v>General</v>
      </c>
      <c r="O36" s="141" t="str">
        <f>IFERROR(__xludf.DUMMYFUNCTION("""COMPUTED_VALUE"""),"Intermediate")</f>
        <v>Intermediate</v>
      </c>
      <c r="P36" s="143">
        <f>IFERROR(__xludf.DUMMYFUNCTION("""COMPUTED_VALUE"""),0.0384375)</f>
        <v>0.0384375</v>
      </c>
      <c r="Q36" s="151"/>
      <c r="R36" s="140"/>
      <c r="S36" s="140"/>
    </row>
    <row r="37" ht="33.75" customHeight="1">
      <c r="A37" s="140"/>
      <c r="B37" s="140"/>
      <c r="C37" s="147">
        <f>IFERROR(__xludf.DUMMYFUNCTION("""COMPUTED_VALUE"""),2822352.0)</f>
        <v>2822352</v>
      </c>
      <c r="D37" s="148" t="str">
        <f>IFERROR(__xludf.DUMMYFUNCTION("""COMPUTED_VALUE"""),"Lean Deep Dive: Job Instruction")</f>
        <v>Lean Deep Dive: Job Instruction</v>
      </c>
      <c r="E37" s="147" t="str">
        <f>IFERROR(__xludf.DUMMYFUNCTION("""COMPUTED_VALUE"""),"General")</f>
        <v>General</v>
      </c>
      <c r="F37" s="141" t="str">
        <f>IFERROR(__xludf.DUMMYFUNCTION("""COMPUTED_VALUE"""),"Beginner")</f>
        <v>Beginner</v>
      </c>
      <c r="G37" s="143">
        <f>IFERROR(__xludf.DUMMYFUNCTION("""COMPUTED_VALUE"""),0.05694444444444444)</f>
        <v>0.05694444444</v>
      </c>
      <c r="H37" s="151"/>
      <c r="I37" s="140"/>
      <c r="J37" s="140"/>
      <c r="K37" s="140"/>
      <c r="L37" s="147">
        <f>IFERROR(__xludf.DUMMYFUNCTION("""COMPUTED_VALUE"""),2822089.0)</f>
        <v>2822089</v>
      </c>
      <c r="M37" s="148" t="str">
        <f>IFERROR(__xludf.DUMMYFUNCTION("""COMPUTED_VALUE"""),"Managing Your Anxiety While Presenting")</f>
        <v>Managing Your Anxiety While Presenting</v>
      </c>
      <c r="N37" s="147" t="str">
        <f>IFERROR(__xludf.DUMMYFUNCTION("""COMPUTED_VALUE"""),"General")</f>
        <v>General</v>
      </c>
      <c r="O37" s="141" t="str">
        <f>IFERROR(__xludf.DUMMYFUNCTION("""COMPUTED_VALUE"""),"General")</f>
        <v>General</v>
      </c>
      <c r="P37" s="143">
        <f>IFERROR(__xludf.DUMMYFUNCTION("""COMPUTED_VALUE"""),0.017962962962962962)</f>
        <v>0.01796296296</v>
      </c>
      <c r="Q37" s="151"/>
      <c r="R37" s="140"/>
      <c r="S37" s="140"/>
    </row>
    <row r="38" ht="33.75" customHeight="1">
      <c r="A38" s="140"/>
      <c r="B38" s="140"/>
      <c r="C38" s="147">
        <f>IFERROR(__xludf.DUMMYFUNCTION("""COMPUTED_VALUE"""),2823298.0)</f>
        <v>2823298</v>
      </c>
      <c r="D38" s="148" t="str">
        <f>IFERROR(__xludf.DUMMYFUNCTION("""COMPUTED_VALUE"""),"Implementing Lean: A Case Study")</f>
        <v>Implementing Lean: A Case Study</v>
      </c>
      <c r="E38" s="147" t="str">
        <f>IFERROR(__xludf.DUMMYFUNCTION("""COMPUTED_VALUE"""),"General")</f>
        <v>General</v>
      </c>
      <c r="F38" s="141" t="str">
        <f>IFERROR(__xludf.DUMMYFUNCTION("""COMPUTED_VALUE"""),"Beginner")</f>
        <v>Beginner</v>
      </c>
      <c r="G38" s="143">
        <f>IFERROR(__xludf.DUMMYFUNCTION("""COMPUTED_VALUE"""),0.04949074074074074)</f>
        <v>0.04949074074</v>
      </c>
      <c r="H38" s="151"/>
      <c r="I38" s="140"/>
      <c r="J38" s="140"/>
      <c r="K38" s="140"/>
      <c r="L38" s="147">
        <f>IFERROR(__xludf.DUMMYFUNCTION("""COMPUTED_VALUE"""),2818087.0)</f>
        <v>2818087</v>
      </c>
      <c r="M38" s="148" t="str">
        <f>IFERROR(__xludf.DUMMYFUNCTION("""COMPUTED_VALUE"""),"Connecting with Your Audience Using Video")</f>
        <v>Connecting with Your Audience Using Video</v>
      </c>
      <c r="N38" s="147" t="str">
        <f>IFERROR(__xludf.DUMMYFUNCTION("""COMPUTED_VALUE"""),"General")</f>
        <v>General</v>
      </c>
      <c r="O38" s="141" t="str">
        <f>IFERROR(__xludf.DUMMYFUNCTION("""COMPUTED_VALUE"""),"General")</f>
        <v>General</v>
      </c>
      <c r="P38" s="143">
        <f>IFERROR(__xludf.DUMMYFUNCTION("""COMPUTED_VALUE"""),0.025381944444444443)</f>
        <v>0.02538194444</v>
      </c>
      <c r="Q38" s="151"/>
      <c r="R38" s="140"/>
      <c r="S38" s="140"/>
    </row>
    <row r="39" ht="33.75" customHeight="1">
      <c r="A39" s="140"/>
      <c r="B39" s="140"/>
      <c r="C39" s="147">
        <f>IFERROR(__xludf.DUMMYFUNCTION("""COMPUTED_VALUE"""),2824205.0)</f>
        <v>2824205</v>
      </c>
      <c r="D39" s="148" t="str">
        <f>IFERROR(__xludf.DUMMYFUNCTION("""COMPUTED_VALUE"""),"From Resisting to Embracing Lean: A Case Study")</f>
        <v>From Resisting to Embracing Lean: A Case Study</v>
      </c>
      <c r="E39" s="147" t="str">
        <f>IFERROR(__xludf.DUMMYFUNCTION("""COMPUTED_VALUE"""),"General")</f>
        <v>General</v>
      </c>
      <c r="F39" s="141" t="str">
        <f>IFERROR(__xludf.DUMMYFUNCTION("""COMPUTED_VALUE"""),"Beginner")</f>
        <v>Beginner</v>
      </c>
      <c r="G39" s="143">
        <f>IFERROR(__xludf.DUMMYFUNCTION("""COMPUTED_VALUE"""),0.1133912037037037)</f>
        <v>0.1133912037</v>
      </c>
      <c r="H39" s="151"/>
      <c r="I39" s="140"/>
      <c r="J39" s="140"/>
      <c r="K39" s="140"/>
      <c r="L39" s="147">
        <f>IFERROR(__xludf.DUMMYFUNCTION("""COMPUTED_VALUE"""),2836016.0)</f>
        <v>2836016</v>
      </c>
      <c r="M39" s="148" t="str">
        <f>IFERROR(__xludf.DUMMYFUNCTION("""COMPUTED_VALUE"""),"How to Create and Run a Brilliant Remote Workshop")</f>
        <v>How to Create and Run a Brilliant Remote Workshop</v>
      </c>
      <c r="N39" s="147" t="str">
        <f>IFERROR(__xludf.DUMMYFUNCTION("""COMPUTED_VALUE"""),"General")</f>
        <v>General</v>
      </c>
      <c r="O39" s="141" t="str">
        <f>IFERROR(__xludf.DUMMYFUNCTION("""COMPUTED_VALUE"""),"General")</f>
        <v>General</v>
      </c>
      <c r="P39" s="143">
        <f>IFERROR(__xludf.DUMMYFUNCTION("""COMPUTED_VALUE"""),0.03394675925925926)</f>
        <v>0.03394675926</v>
      </c>
      <c r="Q39" s="151"/>
      <c r="R39" s="140"/>
      <c r="S39" s="140"/>
    </row>
    <row r="40" ht="33.75" customHeight="1">
      <c r="A40" s="140"/>
      <c r="B40" s="140"/>
      <c r="C40" s="147">
        <f>IFERROR(__xludf.DUMMYFUNCTION("""COMPUTED_VALUE"""),2875323.0)</f>
        <v>2875323</v>
      </c>
      <c r="D40" s="148" t="str">
        <f>IFERROR(__xludf.DUMMYFUNCTION("""COMPUTED_VALUE"""),"Outsourcing Fundamentals")</f>
        <v>Outsourcing Fundamentals</v>
      </c>
      <c r="E40" s="147" t="str">
        <f>IFERROR(__xludf.DUMMYFUNCTION("""COMPUTED_VALUE"""),"General")</f>
        <v>General</v>
      </c>
      <c r="F40" s="141" t="str">
        <f>IFERROR(__xludf.DUMMYFUNCTION("""COMPUTED_VALUE"""),"Beginner")</f>
        <v>Beginner</v>
      </c>
      <c r="G40" s="143">
        <f>IFERROR(__xludf.DUMMYFUNCTION("""COMPUTED_VALUE"""),0.023842592592592592)</f>
        <v>0.02384259259</v>
      </c>
      <c r="H40" s="151"/>
      <c r="I40" s="140"/>
      <c r="J40" s="140"/>
      <c r="K40" s="140"/>
      <c r="L40" s="147">
        <f>IFERROR(__xludf.DUMMYFUNCTION("""COMPUTED_VALUE"""),359601.0)</f>
        <v>359601</v>
      </c>
      <c r="M40" s="148" t="str">
        <f>IFERROR(__xludf.DUMMYFUNCTION("""COMPUTED_VALUE"""),"Communicating with Confidence")</f>
        <v>Communicating with Confidence</v>
      </c>
      <c r="N40" s="147" t="str">
        <f>IFERROR(__xludf.DUMMYFUNCTION("""COMPUTED_VALUE"""),"General")</f>
        <v>General</v>
      </c>
      <c r="O40" s="141" t="str">
        <f>IFERROR(__xludf.DUMMYFUNCTION("""COMPUTED_VALUE"""),"General")</f>
        <v>General</v>
      </c>
      <c r="P40" s="143">
        <f>IFERROR(__xludf.DUMMYFUNCTION("""COMPUTED_VALUE"""),0.053321759259259256)</f>
        <v>0.05332175926</v>
      </c>
      <c r="Q40" s="151"/>
      <c r="R40" s="140"/>
      <c r="S40" s="140"/>
    </row>
    <row r="41" ht="33.75" customHeight="1">
      <c r="A41" s="140"/>
      <c r="B41" s="140"/>
      <c r="C41" s="147">
        <f>IFERROR(__xludf.DUMMYFUNCTION("""COMPUTED_VALUE"""),2874277.0)</f>
        <v>2874277</v>
      </c>
      <c r="D41" s="148" t="str">
        <f>IFERROR(__xludf.DUMMYFUNCTION("""COMPUTED_VALUE"""),"Outsourcing: Managing Service Transition")</f>
        <v>Outsourcing: Managing Service Transition</v>
      </c>
      <c r="E41" s="147" t="str">
        <f>IFERROR(__xludf.DUMMYFUNCTION("""COMPUTED_VALUE"""),"General")</f>
        <v>General</v>
      </c>
      <c r="F41" s="141" t="str">
        <f>IFERROR(__xludf.DUMMYFUNCTION("""COMPUTED_VALUE"""),"Beginner")</f>
        <v>Beginner</v>
      </c>
      <c r="G41" s="143">
        <f>IFERROR(__xludf.DUMMYFUNCTION("""COMPUTED_VALUE"""),0.025902777777777778)</f>
        <v>0.02590277778</v>
      </c>
      <c r="H41" s="151"/>
      <c r="I41" s="140"/>
      <c r="J41" s="140"/>
      <c r="K41" s="140"/>
      <c r="L41" s="147">
        <f>IFERROR(__xludf.DUMMYFUNCTION("""COMPUTED_VALUE"""),2857061.0)</f>
        <v>2857061</v>
      </c>
      <c r="M41" s="148" t="str">
        <f>IFERROR(__xludf.DUMMYFUNCTION("""COMPUTED_VALUE"""),"17 PR Mistakes to Avoid")</f>
        <v>17 PR Mistakes to Avoid</v>
      </c>
      <c r="N41" s="147" t="str">
        <f>IFERROR(__xludf.DUMMYFUNCTION("""COMPUTED_VALUE"""),"General")</f>
        <v>General</v>
      </c>
      <c r="O41" s="141" t="str">
        <f>IFERROR(__xludf.DUMMYFUNCTION("""COMPUTED_VALUE"""),"General")</f>
        <v>General</v>
      </c>
      <c r="P41" s="143">
        <f>IFERROR(__xludf.DUMMYFUNCTION("""COMPUTED_VALUE"""),0.018831018518518518)</f>
        <v>0.01883101852</v>
      </c>
      <c r="Q41" s="151"/>
      <c r="R41" s="140"/>
      <c r="S41" s="140"/>
    </row>
    <row r="42" ht="33.75" customHeight="1">
      <c r="A42" s="140"/>
      <c r="B42" s="140"/>
      <c r="C42" s="147">
        <f>IFERROR(__xludf.DUMMYFUNCTION("""COMPUTED_VALUE"""),2885054.0)</f>
        <v>2885054</v>
      </c>
      <c r="D42" s="148" t="str">
        <f>IFERROR(__xludf.DUMMYFUNCTION("""COMPUTED_VALUE"""),"The Most Important Content KPIs for Creators")</f>
        <v>The Most Important Content KPIs for Creators</v>
      </c>
      <c r="E42" s="147" t="str">
        <f>IFERROR(__xludf.DUMMYFUNCTION("""COMPUTED_VALUE"""),"General")</f>
        <v>General</v>
      </c>
      <c r="F42" s="141" t="str">
        <f>IFERROR(__xludf.DUMMYFUNCTION("""COMPUTED_VALUE"""),"Beginner")</f>
        <v>Beginner</v>
      </c>
      <c r="G42" s="143">
        <f>IFERROR(__xludf.DUMMYFUNCTION("""COMPUTED_VALUE"""),0.024155092592592593)</f>
        <v>0.02415509259</v>
      </c>
      <c r="H42" s="151"/>
      <c r="I42" s="140"/>
      <c r="J42" s="140"/>
      <c r="K42" s="140"/>
      <c r="L42" s="147">
        <f>IFERROR(__xludf.DUMMYFUNCTION("""COMPUTED_VALUE"""),2832065.0)</f>
        <v>2832065</v>
      </c>
      <c r="M42" s="148" t="str">
        <f>IFERROR(__xludf.DUMMYFUNCTION("""COMPUTED_VALUE"""),"Finding Your Idea Hook")</f>
        <v>Finding Your Idea Hook</v>
      </c>
      <c r="N42" s="147" t="str">
        <f>IFERROR(__xludf.DUMMYFUNCTION("""COMPUTED_VALUE"""),"General")</f>
        <v>General</v>
      </c>
      <c r="O42" s="141" t="str">
        <f>IFERROR(__xludf.DUMMYFUNCTION("""COMPUTED_VALUE"""),"General")</f>
        <v>General</v>
      </c>
      <c r="P42" s="143">
        <f>IFERROR(__xludf.DUMMYFUNCTION("""COMPUTED_VALUE"""),0.019467592592592592)</f>
        <v>0.01946759259</v>
      </c>
      <c r="Q42" s="151"/>
      <c r="R42" s="140"/>
      <c r="S42" s="140"/>
    </row>
    <row r="43" ht="33.75" customHeight="1">
      <c r="A43" s="140"/>
      <c r="B43" s="140"/>
      <c r="C43" s="147">
        <f>IFERROR(__xludf.DUMMYFUNCTION("""COMPUTED_VALUE"""),2422928.0)</f>
        <v>2422928</v>
      </c>
      <c r="D43" s="148" t="str">
        <f>IFERROR(__xludf.DUMMYFUNCTION("""COMPUTED_VALUE"""),"Developing Organizational Awareness")</f>
        <v>Developing Organizational Awareness</v>
      </c>
      <c r="E43" s="147" t="str">
        <f>IFERROR(__xludf.DUMMYFUNCTION("""COMPUTED_VALUE"""),"General")</f>
        <v>General</v>
      </c>
      <c r="F43" s="141" t="str">
        <f>IFERROR(__xludf.DUMMYFUNCTION("""COMPUTED_VALUE"""),"Beginner")</f>
        <v>Beginner</v>
      </c>
      <c r="G43" s="143">
        <f>IFERROR(__xludf.DUMMYFUNCTION("""COMPUTED_VALUE"""),0.02704861111111111)</f>
        <v>0.02704861111</v>
      </c>
      <c r="H43" s="151"/>
      <c r="I43" s="140"/>
      <c r="J43" s="140"/>
      <c r="K43" s="140"/>
      <c r="L43" s="147">
        <f>IFERROR(__xludf.DUMMYFUNCTION("""COMPUTED_VALUE"""),2825741.0)</f>
        <v>2825741</v>
      </c>
      <c r="M43" s="148" t="str">
        <f>IFERROR(__xludf.DUMMYFUNCTION("""COMPUTED_VALUE"""),"Presenting to Senior Executives")</f>
        <v>Presenting to Senior Executives</v>
      </c>
      <c r="N43" s="147" t="str">
        <f>IFERROR(__xludf.DUMMYFUNCTION("""COMPUTED_VALUE"""),"General")</f>
        <v>General</v>
      </c>
      <c r="O43" s="141" t="str">
        <f>IFERROR(__xludf.DUMMYFUNCTION("""COMPUTED_VALUE"""),"General")</f>
        <v>General</v>
      </c>
      <c r="P43" s="143">
        <f>IFERROR(__xludf.DUMMYFUNCTION("""COMPUTED_VALUE"""),0.03457175925925926)</f>
        <v>0.03457175926</v>
      </c>
      <c r="Q43" s="151"/>
      <c r="R43" s="140"/>
      <c r="S43" s="140"/>
    </row>
    <row r="44" ht="33.75" customHeight="1">
      <c r="A44" s="140"/>
      <c r="B44" s="140"/>
      <c r="C44" s="147">
        <f>IFERROR(__xludf.DUMMYFUNCTION("""COMPUTED_VALUE"""),2813257.0)</f>
        <v>2813257</v>
      </c>
      <c r="D44" s="148" t="str">
        <f>IFERROR(__xludf.DUMMYFUNCTION("""COMPUTED_VALUE"""),"Revenue, Staffing, and Expense Models Explained")</f>
        <v>Revenue, Staffing, and Expense Models Explained</v>
      </c>
      <c r="E44" s="147" t="str">
        <f>IFERROR(__xludf.DUMMYFUNCTION("""COMPUTED_VALUE"""),"General")</f>
        <v>General</v>
      </c>
      <c r="F44" s="141" t="str">
        <f>IFERROR(__xludf.DUMMYFUNCTION("""COMPUTED_VALUE"""),"Beginner + Intermediate")</f>
        <v>Beginner + Intermediate</v>
      </c>
      <c r="G44" s="143">
        <f>IFERROR(__xludf.DUMMYFUNCTION("""COMPUTED_VALUE"""),0.05939814814814815)</f>
        <v>0.05939814815</v>
      </c>
      <c r="H44" s="151"/>
      <c r="I44" s="140"/>
      <c r="J44" s="140"/>
      <c r="K44" s="140"/>
      <c r="L44" s="147">
        <f>IFERROR(__xludf.DUMMYFUNCTION("""COMPUTED_VALUE"""),2353949.0)</f>
        <v>2353949</v>
      </c>
      <c r="M44" s="148" t="str">
        <f>IFERROR(__xludf.DUMMYFUNCTION("""COMPUTED_VALUE"""),"How to Own a Room")</f>
        <v>How to Own a Room</v>
      </c>
      <c r="N44" s="147" t="str">
        <f>IFERROR(__xludf.DUMMYFUNCTION("""COMPUTED_VALUE"""),"General")</f>
        <v>General</v>
      </c>
      <c r="O44" s="141" t="str">
        <f>IFERROR(__xludf.DUMMYFUNCTION("""COMPUTED_VALUE"""),"General")</f>
        <v>General</v>
      </c>
      <c r="P44" s="143">
        <f>IFERROR(__xludf.DUMMYFUNCTION("""COMPUTED_VALUE"""),0.037905092592592594)</f>
        <v>0.03790509259</v>
      </c>
      <c r="Q44" s="151"/>
      <c r="R44" s="140"/>
      <c r="S44" s="140"/>
    </row>
    <row r="45" ht="33.75" customHeight="1">
      <c r="A45" s="140"/>
      <c r="B45" s="140"/>
      <c r="C45" s="147">
        <f>IFERROR(__xludf.DUMMYFUNCTION("""COMPUTED_VALUE"""),2813258.0)</f>
        <v>2813258</v>
      </c>
      <c r="D45" s="148" t="str">
        <f>IFERROR(__xludf.DUMMYFUNCTION("""COMPUTED_VALUE"""),"Pricing Strategy Explained")</f>
        <v>Pricing Strategy Explained</v>
      </c>
      <c r="E45" s="147" t="str">
        <f>IFERROR(__xludf.DUMMYFUNCTION("""COMPUTED_VALUE"""),"General")</f>
        <v>General</v>
      </c>
      <c r="F45" s="141" t="str">
        <f>IFERROR(__xludf.DUMMYFUNCTION("""COMPUTED_VALUE"""),"Beginner + Intermediate")</f>
        <v>Beginner + Intermediate</v>
      </c>
      <c r="G45" s="143">
        <f>IFERROR(__xludf.DUMMYFUNCTION("""COMPUTED_VALUE"""),0.06403935185185185)</f>
        <v>0.06403935185</v>
      </c>
      <c r="H45" s="151"/>
      <c r="I45" s="140"/>
      <c r="J45" s="140"/>
      <c r="K45" s="140"/>
      <c r="L45" s="147">
        <f>IFERROR(__xludf.DUMMYFUNCTION("""COMPUTED_VALUE"""),786358.0)</f>
        <v>786358</v>
      </c>
      <c r="M45" s="148" t="str">
        <f>IFERROR(__xludf.DUMMYFUNCTION("""COMPUTED_VALUE"""),"Master Confident Presentations")</f>
        <v>Master Confident Presentations</v>
      </c>
      <c r="N45" s="147" t="str">
        <f>IFERROR(__xludf.DUMMYFUNCTION("""COMPUTED_VALUE"""),"General")</f>
        <v>General</v>
      </c>
      <c r="O45" s="141" t="str">
        <f>IFERROR(__xludf.DUMMYFUNCTION("""COMPUTED_VALUE"""),"General")</f>
        <v>General</v>
      </c>
      <c r="P45" s="143">
        <f>IFERROR(__xludf.DUMMYFUNCTION("""COMPUTED_VALUE"""),0.07644675925925926)</f>
        <v>0.07644675926</v>
      </c>
      <c r="Q45" s="151"/>
      <c r="R45" s="140"/>
      <c r="S45" s="140"/>
    </row>
    <row r="46" ht="33.75" customHeight="1">
      <c r="A46" s="140"/>
      <c r="B46" s="140"/>
      <c r="C46" s="147">
        <f>IFERROR(__xludf.DUMMYFUNCTION("""COMPUTED_VALUE"""),2823199.0)</f>
        <v>2823199</v>
      </c>
      <c r="D46" s="148" t="str">
        <f>IFERROR(__xludf.DUMMYFUNCTION("""COMPUTED_VALUE"""),"Data Ethics: Managing Your Private Customer Data")</f>
        <v>Data Ethics: Managing Your Private Customer Data</v>
      </c>
      <c r="E46" s="147" t="str">
        <f>IFERROR(__xludf.DUMMYFUNCTION("""COMPUTED_VALUE"""),"General")</f>
        <v>General</v>
      </c>
      <c r="F46" s="141" t="str">
        <f>IFERROR(__xludf.DUMMYFUNCTION("""COMPUTED_VALUE"""),"Beginner + Intermediate")</f>
        <v>Beginner + Intermediate</v>
      </c>
      <c r="G46" s="143">
        <f>IFERROR(__xludf.DUMMYFUNCTION("""COMPUTED_VALUE"""),0.04611111111111111)</f>
        <v>0.04611111111</v>
      </c>
      <c r="H46" s="151"/>
      <c r="I46" s="140"/>
      <c r="J46" s="140"/>
      <c r="K46" s="140"/>
      <c r="L46" s="147">
        <f>IFERROR(__xludf.DUMMYFUNCTION("""COMPUTED_VALUE"""),491532.0)</f>
        <v>491532</v>
      </c>
      <c r="M46" s="148" t="str">
        <f>IFERROR(__xludf.DUMMYFUNCTION("""COMPUTED_VALUE"""),"Shane Snow on Storytelling")</f>
        <v>Shane Snow on Storytelling</v>
      </c>
      <c r="N46" s="147" t="str">
        <f>IFERROR(__xludf.DUMMYFUNCTION("""COMPUTED_VALUE"""),"General")</f>
        <v>General</v>
      </c>
      <c r="O46" s="141" t="str">
        <f>IFERROR(__xludf.DUMMYFUNCTION("""COMPUTED_VALUE"""),"General")</f>
        <v>General</v>
      </c>
      <c r="P46" s="143">
        <f>IFERROR(__xludf.DUMMYFUNCTION("""COMPUTED_VALUE"""),0.047280092592592596)</f>
        <v>0.04728009259</v>
      </c>
      <c r="Q46" s="151"/>
      <c r="R46" s="140"/>
      <c r="S46" s="140"/>
    </row>
    <row r="47" ht="33.75" customHeight="1">
      <c r="A47" s="140"/>
      <c r="B47" s="140"/>
      <c r="C47" s="147">
        <f>IFERROR(__xludf.DUMMYFUNCTION("""COMPUTED_VALUE"""),5005054.0)</f>
        <v>5005054</v>
      </c>
      <c r="D47" s="148" t="str">
        <f>IFERROR(__xludf.DUMMYFUNCTION("""COMPUTED_VALUE"""),"Quality Management Foundations")</f>
        <v>Quality Management Foundations</v>
      </c>
      <c r="E47" s="147" t="str">
        <f>IFERROR(__xludf.DUMMYFUNCTION("""COMPUTED_VALUE"""),"General")</f>
        <v>General</v>
      </c>
      <c r="F47" s="141" t="str">
        <f>IFERROR(__xludf.DUMMYFUNCTION("""COMPUTED_VALUE"""),"Beginner + Intermediate")</f>
        <v>Beginner + Intermediate</v>
      </c>
      <c r="G47" s="143">
        <f>IFERROR(__xludf.DUMMYFUNCTION("""COMPUTED_VALUE"""),0.04303240740740741)</f>
        <v>0.04303240741</v>
      </c>
      <c r="H47" s="151"/>
      <c r="I47" s="140"/>
      <c r="J47" s="140"/>
      <c r="K47" s="140"/>
      <c r="L47" s="147">
        <f>IFERROR(__xludf.DUMMYFUNCTION("""COMPUTED_VALUE"""),2805116.0)</f>
        <v>2805116</v>
      </c>
      <c r="M47" s="148" t="str">
        <f>IFERROR(__xludf.DUMMYFUNCTION("""COMPUTED_VALUE"""),"Delivery Tips for Speaking in Public")</f>
        <v>Delivery Tips for Speaking in Public</v>
      </c>
      <c r="N47" s="147" t="str">
        <f>IFERROR(__xludf.DUMMYFUNCTION("""COMPUTED_VALUE"""),"General")</f>
        <v>General</v>
      </c>
      <c r="O47" s="141" t="str">
        <f>IFERROR(__xludf.DUMMYFUNCTION("""COMPUTED_VALUE"""),"General")</f>
        <v>General</v>
      </c>
      <c r="P47" s="143">
        <f>IFERROR(__xludf.DUMMYFUNCTION("""COMPUTED_VALUE"""),0.021689814814814815)</f>
        <v>0.02168981481</v>
      </c>
      <c r="Q47" s="151"/>
      <c r="R47" s="140"/>
      <c r="S47" s="140"/>
    </row>
    <row r="48" ht="33.75" customHeight="1">
      <c r="A48" s="140"/>
      <c r="B48" s="140"/>
      <c r="C48" s="147">
        <f>IFERROR(__xludf.DUMMYFUNCTION("""COMPUTED_VALUE"""),672235.0)</f>
        <v>672235</v>
      </c>
      <c r="D48" s="148" t="str">
        <f>IFERROR(__xludf.DUMMYFUNCTION("""COMPUTED_VALUE"""),"Supply Chain and Operations Management Tips")</f>
        <v>Supply Chain and Operations Management Tips</v>
      </c>
      <c r="E48" s="147" t="str">
        <f>IFERROR(__xludf.DUMMYFUNCTION("""COMPUTED_VALUE"""),"General")</f>
        <v>General</v>
      </c>
      <c r="F48" s="141" t="str">
        <f>IFERROR(__xludf.DUMMYFUNCTION("""COMPUTED_VALUE"""),"Beginner + Intermediate")</f>
        <v>Beginner + Intermediate</v>
      </c>
      <c r="G48" s="143">
        <f>IFERROR(__xludf.DUMMYFUNCTION("""COMPUTED_VALUE"""),0.11820601851851852)</f>
        <v>0.1182060185</v>
      </c>
      <c r="H48" s="151"/>
      <c r="I48" s="140"/>
      <c r="J48" s="140"/>
      <c r="K48" s="140"/>
      <c r="L48" s="147">
        <f>IFERROR(__xludf.DUMMYFUNCTION("""COMPUTED_VALUE"""),5030964.0)</f>
        <v>5030964</v>
      </c>
      <c r="M48" s="148" t="str">
        <f>IFERROR(__xludf.DUMMYFUNCTION("""COMPUTED_VALUE"""),"Presentation Tips Weekly")</f>
        <v>Presentation Tips Weekly</v>
      </c>
      <c r="N48" s="147" t="str">
        <f>IFERROR(__xludf.DUMMYFUNCTION("""COMPUTED_VALUE"""),"General")</f>
        <v>General</v>
      </c>
      <c r="O48" s="141" t="str">
        <f>IFERROR(__xludf.DUMMYFUNCTION("""COMPUTED_VALUE"""),"General")</f>
        <v>General</v>
      </c>
      <c r="P48" s="143">
        <f>IFERROR(__xludf.DUMMYFUNCTION("""COMPUTED_VALUE"""),0.20719907407407406)</f>
        <v>0.2071990741</v>
      </c>
      <c r="Q48" s="151"/>
      <c r="R48" s="140"/>
      <c r="S48" s="140"/>
    </row>
    <row r="49" ht="33.75" customHeight="1">
      <c r="A49" s="140"/>
      <c r="B49" s="140"/>
      <c r="C49" s="147">
        <f>IFERROR(__xludf.DUMMYFUNCTION("""COMPUTED_VALUE"""),2833091.0)</f>
        <v>2833091</v>
      </c>
      <c r="D49" s="148" t="str">
        <f>IFERROR(__xludf.DUMMYFUNCTION("""COMPUTED_VALUE"""),"How Blockchains Will Change Business")</f>
        <v>How Blockchains Will Change Business</v>
      </c>
      <c r="E49" s="147" t="str">
        <f>IFERROR(__xludf.DUMMYFUNCTION("""COMPUTED_VALUE"""),"General")</f>
        <v>General</v>
      </c>
      <c r="F49" s="141" t="str">
        <f>IFERROR(__xludf.DUMMYFUNCTION("""COMPUTED_VALUE"""),"Beginner + Intermediate")</f>
        <v>Beginner + Intermediate</v>
      </c>
      <c r="G49" s="143">
        <f>IFERROR(__xludf.DUMMYFUNCTION("""COMPUTED_VALUE"""),0.044641203703703704)</f>
        <v>0.0446412037</v>
      </c>
      <c r="H49" s="151"/>
      <c r="I49" s="140"/>
      <c r="J49" s="140"/>
      <c r="K49" s="140"/>
      <c r="L49" s="147">
        <f>IFERROR(__xludf.DUMMYFUNCTION("""COMPUTED_VALUE"""),2894005.0)</f>
        <v>2894005</v>
      </c>
      <c r="M49" s="148" t="str">
        <f>IFERROR(__xludf.DUMMYFUNCTION("""COMPUTED_VALUE"""),"How to Stand Out Remotely")</f>
        <v>How to Stand Out Remotely</v>
      </c>
      <c r="N49" s="147" t="str">
        <f>IFERROR(__xludf.DUMMYFUNCTION("""COMPUTED_VALUE"""),"General")</f>
        <v>General</v>
      </c>
      <c r="O49" s="141" t="str">
        <f>IFERROR(__xludf.DUMMYFUNCTION("""COMPUTED_VALUE"""),"General")</f>
        <v>General</v>
      </c>
      <c r="P49" s="143">
        <f>IFERROR(__xludf.DUMMYFUNCTION("""COMPUTED_VALUE"""),0.03127314814814815)</f>
        <v>0.03127314815</v>
      </c>
      <c r="Q49" s="151"/>
      <c r="R49" s="140"/>
      <c r="S49" s="140"/>
    </row>
    <row r="50" ht="33.75" customHeight="1">
      <c r="A50" s="140"/>
      <c r="B50" s="140"/>
      <c r="C50" s="147">
        <f>IFERROR(__xludf.DUMMYFUNCTION("""COMPUTED_VALUE"""),2840016.0)</f>
        <v>2840016</v>
      </c>
      <c r="D50" s="148" t="str">
        <f>IFERROR(__xludf.DUMMYFUNCTION("""COMPUTED_VALUE"""),"Design Thinking: Implementing the Process")</f>
        <v>Design Thinking: Implementing the Process</v>
      </c>
      <c r="E50" s="147" t="str">
        <f>IFERROR(__xludf.DUMMYFUNCTION("""COMPUTED_VALUE"""),"General")</f>
        <v>General</v>
      </c>
      <c r="F50" s="141" t="str">
        <f>IFERROR(__xludf.DUMMYFUNCTION("""COMPUTED_VALUE"""),"Beginner + Intermediate")</f>
        <v>Beginner + Intermediate</v>
      </c>
      <c r="G50" s="143">
        <f>IFERROR(__xludf.DUMMYFUNCTION("""COMPUTED_VALUE"""),0.03221064814814815)</f>
        <v>0.03221064815</v>
      </c>
      <c r="H50" s="151"/>
      <c r="I50" s="140"/>
      <c r="J50" s="140"/>
      <c r="K50" s="140"/>
      <c r="L50" s="147"/>
      <c r="M50" s="153"/>
      <c r="N50" s="147"/>
      <c r="O50" s="141"/>
      <c r="P50" s="141"/>
      <c r="Q50" s="151"/>
      <c r="R50" s="140"/>
      <c r="S50" s="140"/>
    </row>
    <row r="51" ht="33.75" customHeight="1">
      <c r="A51" s="140"/>
      <c r="B51" s="140"/>
      <c r="C51" s="147">
        <f>IFERROR(__xludf.DUMMYFUNCTION("""COMPUTED_VALUE"""),2833092.0)</f>
        <v>2833092</v>
      </c>
      <c r="D51" s="148" t="str">
        <f>IFERROR(__xludf.DUMMYFUNCTION("""COMPUTED_VALUE"""),"Understanding Logistics")</f>
        <v>Understanding Logistics</v>
      </c>
      <c r="E51" s="147" t="str">
        <f>IFERROR(__xludf.DUMMYFUNCTION("""COMPUTED_VALUE"""),"General")</f>
        <v>General</v>
      </c>
      <c r="F51" s="141" t="str">
        <f>IFERROR(__xludf.DUMMYFUNCTION("""COMPUTED_VALUE"""),"Beginner + Intermediate")</f>
        <v>Beginner + Intermediate</v>
      </c>
      <c r="G51" s="143">
        <f>IFERROR(__xludf.DUMMYFUNCTION("""COMPUTED_VALUE"""),0.026851851851851852)</f>
        <v>0.02685185185</v>
      </c>
      <c r="H51" s="151"/>
      <c r="I51" s="140"/>
      <c r="J51" s="140"/>
      <c r="K51" s="140"/>
      <c r="L51" s="147"/>
      <c r="M51" s="153"/>
      <c r="N51" s="147"/>
      <c r="O51" s="141"/>
      <c r="P51" s="141"/>
      <c r="Q51" s="151"/>
      <c r="R51" s="140"/>
      <c r="S51" s="140"/>
    </row>
    <row r="52" ht="33.75" customHeight="1">
      <c r="A52" s="140"/>
      <c r="B52" s="140"/>
      <c r="C52" s="147">
        <f>IFERROR(__xludf.DUMMYFUNCTION("""COMPUTED_VALUE"""),2822695.0)</f>
        <v>2822695</v>
      </c>
      <c r="D52" s="148" t="str">
        <f>IFERROR(__xludf.DUMMYFUNCTION("""COMPUTED_VALUE"""),"Implementing a Vulnerability Management Lifecycle")</f>
        <v>Implementing a Vulnerability Management Lifecycle</v>
      </c>
      <c r="E52" s="147" t="str">
        <f>IFERROR(__xludf.DUMMYFUNCTION("""COMPUTED_VALUE"""),"General")</f>
        <v>General</v>
      </c>
      <c r="F52" s="141" t="str">
        <f>IFERROR(__xludf.DUMMYFUNCTION("""COMPUTED_VALUE"""),"Intermediate")</f>
        <v>Intermediate</v>
      </c>
      <c r="G52" s="143">
        <f>IFERROR(__xludf.DUMMYFUNCTION("""COMPUTED_VALUE"""),0.02949074074074074)</f>
        <v>0.02949074074</v>
      </c>
      <c r="H52" s="151"/>
      <c r="I52" s="140"/>
      <c r="J52" s="140"/>
      <c r="K52" s="140"/>
      <c r="L52" s="147"/>
      <c r="M52" s="153"/>
      <c r="N52" s="147"/>
      <c r="O52" s="141"/>
      <c r="P52" s="141"/>
      <c r="Q52" s="151"/>
      <c r="R52" s="140"/>
      <c r="S52" s="140"/>
    </row>
    <row r="53" ht="33.75" customHeight="1">
      <c r="A53" s="140"/>
      <c r="B53" s="140"/>
      <c r="C53" s="147">
        <f>IFERROR(__xludf.DUMMYFUNCTION("""COMPUTED_VALUE"""),786354.0)</f>
        <v>786354</v>
      </c>
      <c r="D53" s="148" t="str">
        <f>IFERROR(__xludf.DUMMYFUNCTION("""COMPUTED_VALUE"""),"Business Process Improvement")</f>
        <v>Business Process Improvement</v>
      </c>
      <c r="E53" s="147" t="str">
        <f>IFERROR(__xludf.DUMMYFUNCTION("""COMPUTED_VALUE"""),"General")</f>
        <v>General</v>
      </c>
      <c r="F53" s="141" t="str">
        <f>IFERROR(__xludf.DUMMYFUNCTION("""COMPUTED_VALUE"""),"Intermediate")</f>
        <v>Intermediate</v>
      </c>
      <c r="G53" s="143">
        <f>IFERROR(__xludf.DUMMYFUNCTION("""COMPUTED_VALUE"""),0.04030092592592593)</f>
        <v>0.04030092593</v>
      </c>
      <c r="H53" s="151"/>
      <c r="I53" s="140"/>
      <c r="J53" s="140"/>
      <c r="K53" s="140"/>
      <c r="L53" s="147"/>
      <c r="M53" s="153"/>
      <c r="N53" s="147"/>
      <c r="O53" s="141"/>
      <c r="P53" s="141"/>
      <c r="Q53" s="151"/>
      <c r="R53" s="140"/>
      <c r="S53" s="140"/>
    </row>
    <row r="54" ht="33.75" customHeight="1">
      <c r="A54" s="140"/>
      <c r="B54" s="140"/>
      <c r="C54" s="147">
        <f>IFERROR(__xludf.DUMMYFUNCTION("""COMPUTED_VALUE"""),2841547.0)</f>
        <v>2841547</v>
      </c>
      <c r="D54" s="148" t="str">
        <f>IFERROR(__xludf.DUMMYFUNCTION("""COMPUTED_VALUE"""),"UX Deep Dive: Remote Research")</f>
        <v>UX Deep Dive: Remote Research</v>
      </c>
      <c r="E54" s="147" t="str">
        <f>IFERROR(__xludf.DUMMYFUNCTION("""COMPUTED_VALUE"""),"General")</f>
        <v>General</v>
      </c>
      <c r="F54" s="141" t="str">
        <f>IFERROR(__xludf.DUMMYFUNCTION("""COMPUTED_VALUE"""),"Intermediate")</f>
        <v>Intermediate</v>
      </c>
      <c r="G54" s="143">
        <f>IFERROR(__xludf.DUMMYFUNCTION("""COMPUTED_VALUE"""),0.018090277777777778)</f>
        <v>0.01809027778</v>
      </c>
      <c r="H54" s="151"/>
      <c r="I54" s="140"/>
      <c r="J54" s="140"/>
      <c r="K54" s="140"/>
      <c r="L54" s="147"/>
      <c r="M54" s="153"/>
      <c r="N54" s="147"/>
      <c r="O54" s="141"/>
      <c r="P54" s="141"/>
      <c r="Q54" s="151"/>
      <c r="R54" s="140"/>
      <c r="S54" s="140"/>
    </row>
    <row r="55" ht="33.75" customHeight="1">
      <c r="A55" s="140"/>
      <c r="B55" s="140"/>
      <c r="C55" s="147">
        <f>IFERROR(__xludf.DUMMYFUNCTION("""COMPUTED_VALUE"""),2856077.0)</f>
        <v>2856077</v>
      </c>
      <c r="D55" s="148" t="str">
        <f>IFERROR(__xludf.DUMMYFUNCTION("""COMPUTED_VALUE"""),"Excel Supply Chain Analysis: Solving Transportation Problems")</f>
        <v>Excel Supply Chain Analysis: Solving Transportation Problems</v>
      </c>
      <c r="E55" s="147" t="str">
        <f>IFERROR(__xludf.DUMMYFUNCTION("""COMPUTED_VALUE"""),"General")</f>
        <v>General</v>
      </c>
      <c r="F55" s="141" t="str">
        <f>IFERROR(__xludf.DUMMYFUNCTION("""COMPUTED_VALUE"""),"Intermediate")</f>
        <v>Intermediate</v>
      </c>
      <c r="G55" s="143">
        <f>IFERROR(__xludf.DUMMYFUNCTION("""COMPUTED_VALUE"""),0.08042824074074074)</f>
        <v>0.08042824074</v>
      </c>
      <c r="H55" s="151"/>
      <c r="I55" s="140"/>
      <c r="J55" s="140"/>
      <c r="K55" s="140"/>
      <c r="L55" s="147"/>
      <c r="M55" s="153"/>
      <c r="N55" s="147"/>
      <c r="O55" s="141"/>
      <c r="P55" s="141"/>
      <c r="Q55" s="151"/>
      <c r="R55" s="140"/>
      <c r="S55" s="140"/>
    </row>
    <row r="56" ht="33.75" customHeight="1">
      <c r="A56" s="140"/>
      <c r="B56" s="140"/>
      <c r="C56" s="147">
        <f>IFERROR(__xludf.DUMMYFUNCTION("""COMPUTED_VALUE"""),560126.0)</f>
        <v>560126</v>
      </c>
      <c r="D56" s="148" t="str">
        <f>IFERROR(__xludf.DUMMYFUNCTION("""COMPUTED_VALUE"""),"Enterprise Agile: Changing Your Culture")</f>
        <v>Enterprise Agile: Changing Your Culture</v>
      </c>
      <c r="E56" s="147" t="str">
        <f>IFERROR(__xludf.DUMMYFUNCTION("""COMPUTED_VALUE"""),"General")</f>
        <v>General</v>
      </c>
      <c r="F56" s="141" t="str">
        <f>IFERROR(__xludf.DUMMYFUNCTION("""COMPUTED_VALUE"""),"Intermediate")</f>
        <v>Intermediate</v>
      </c>
      <c r="G56" s="143">
        <f>IFERROR(__xludf.DUMMYFUNCTION("""COMPUTED_VALUE"""),0.05699074074074074)</f>
        <v>0.05699074074</v>
      </c>
      <c r="H56" s="151"/>
      <c r="I56" s="140"/>
      <c r="J56" s="140"/>
      <c r="K56" s="140"/>
      <c r="L56" s="147"/>
      <c r="M56" s="153"/>
      <c r="N56" s="147"/>
      <c r="O56" s="141"/>
      <c r="P56" s="141"/>
      <c r="Q56" s="151"/>
      <c r="R56" s="140"/>
      <c r="S56" s="140"/>
    </row>
    <row r="57" ht="33.75" customHeight="1">
      <c r="A57" s="140"/>
      <c r="B57" s="140"/>
      <c r="C57" s="147">
        <f>IFERROR(__xludf.DUMMYFUNCTION("""COMPUTED_VALUE"""),724788.0)</f>
        <v>724788</v>
      </c>
      <c r="D57" s="148" t="str">
        <f>IFERROR(__xludf.DUMMYFUNCTION("""COMPUTED_VALUE"""),"Implementing Supply Chain Management")</f>
        <v>Implementing Supply Chain Management</v>
      </c>
      <c r="E57" s="147" t="str">
        <f>IFERROR(__xludf.DUMMYFUNCTION("""COMPUTED_VALUE"""),"General")</f>
        <v>General</v>
      </c>
      <c r="F57" s="141" t="str">
        <f>IFERROR(__xludf.DUMMYFUNCTION("""COMPUTED_VALUE"""),"Intermediate")</f>
        <v>Intermediate</v>
      </c>
      <c r="G57" s="143">
        <f>IFERROR(__xludf.DUMMYFUNCTION("""COMPUTED_VALUE"""),0.059340277777777777)</f>
        <v>0.05934027778</v>
      </c>
      <c r="H57" s="151"/>
      <c r="I57" s="140"/>
      <c r="J57" s="140"/>
      <c r="K57" s="140"/>
      <c r="L57" s="147"/>
      <c r="M57" s="153"/>
      <c r="N57" s="147"/>
      <c r="O57" s="141"/>
      <c r="P57" s="141"/>
      <c r="Q57" s="151"/>
      <c r="R57" s="140"/>
      <c r="S57" s="140"/>
    </row>
    <row r="58" ht="33.75" customHeight="1">
      <c r="A58" s="140"/>
      <c r="B58" s="140"/>
      <c r="C58" s="147">
        <f>IFERROR(__xludf.DUMMYFUNCTION("""COMPUTED_VALUE"""),721924.0)</f>
        <v>721924</v>
      </c>
      <c r="D58" s="148" t="str">
        <f>IFERROR(__xludf.DUMMYFUNCTION("""COMPUTED_VALUE"""),"Lean Six Sigma: Analyze, Improve, and Control Tools")</f>
        <v>Lean Six Sigma: Analyze, Improve, and Control Tools</v>
      </c>
      <c r="E58" s="147" t="str">
        <f>IFERROR(__xludf.DUMMYFUNCTION("""COMPUTED_VALUE"""),"General")</f>
        <v>General</v>
      </c>
      <c r="F58" s="141" t="str">
        <f>IFERROR(__xludf.DUMMYFUNCTION("""COMPUTED_VALUE"""),"Intermediate")</f>
        <v>Intermediate</v>
      </c>
      <c r="G58" s="143">
        <f>IFERROR(__xludf.DUMMYFUNCTION("""COMPUTED_VALUE"""),0.056886574074074076)</f>
        <v>0.05688657407</v>
      </c>
      <c r="H58" s="151"/>
      <c r="I58" s="140"/>
      <c r="J58" s="140"/>
      <c r="K58" s="140"/>
      <c r="L58" s="147"/>
      <c r="M58" s="153"/>
      <c r="N58" s="147"/>
      <c r="O58" s="141"/>
      <c r="P58" s="141"/>
      <c r="Q58" s="151"/>
      <c r="R58" s="140"/>
      <c r="S58" s="140"/>
    </row>
    <row r="59" ht="33.75" customHeight="1">
      <c r="A59" s="140"/>
      <c r="B59" s="140"/>
      <c r="C59" s="147">
        <f>IFERROR(__xludf.DUMMYFUNCTION("""COMPUTED_VALUE"""),721919.0)</f>
        <v>721919</v>
      </c>
      <c r="D59" s="148" t="str">
        <f>IFERROR(__xludf.DUMMYFUNCTION("""COMPUTED_VALUE"""),"Lean Six Sigma: Define and Measure Tools")</f>
        <v>Lean Six Sigma: Define and Measure Tools</v>
      </c>
      <c r="E59" s="147" t="str">
        <f>IFERROR(__xludf.DUMMYFUNCTION("""COMPUTED_VALUE"""),"General")</f>
        <v>General</v>
      </c>
      <c r="F59" s="141" t="str">
        <f>IFERROR(__xludf.DUMMYFUNCTION("""COMPUTED_VALUE"""),"Intermediate")</f>
        <v>Intermediate</v>
      </c>
      <c r="G59" s="143">
        <f>IFERROR(__xludf.DUMMYFUNCTION("""COMPUTED_VALUE"""),0.05938657407407407)</f>
        <v>0.05938657407</v>
      </c>
      <c r="H59" s="151"/>
      <c r="I59" s="140"/>
      <c r="J59" s="140"/>
      <c r="K59" s="140"/>
      <c r="L59" s="147"/>
      <c r="M59" s="153"/>
      <c r="N59" s="147"/>
      <c r="O59" s="141"/>
      <c r="P59" s="141"/>
      <c r="Q59" s="151"/>
      <c r="R59" s="140"/>
      <c r="S59" s="140"/>
    </row>
    <row r="60" ht="33.75" customHeight="1">
      <c r="A60" s="140"/>
      <c r="B60" s="140"/>
      <c r="C60" s="147">
        <f>IFERROR(__xludf.DUMMYFUNCTION("""COMPUTED_VALUE"""),737769.0)</f>
        <v>737769</v>
      </c>
      <c r="D60" s="148" t="str">
        <f>IFERROR(__xludf.DUMMYFUNCTION("""COMPUTED_VALUE"""),"Lean Technology Strategy: Starting Your Business Transformation")</f>
        <v>Lean Technology Strategy: Starting Your Business Transformation</v>
      </c>
      <c r="E60" s="147" t="str">
        <f>IFERROR(__xludf.DUMMYFUNCTION("""COMPUTED_VALUE"""),"General")</f>
        <v>General</v>
      </c>
      <c r="F60" s="141" t="str">
        <f>IFERROR(__xludf.DUMMYFUNCTION("""COMPUTED_VALUE"""),"Intermediate")</f>
        <v>Intermediate</v>
      </c>
      <c r="G60" s="143">
        <f>IFERROR(__xludf.DUMMYFUNCTION("""COMPUTED_VALUE"""),0.026064814814814815)</f>
        <v>0.02606481481</v>
      </c>
      <c r="H60" s="151"/>
      <c r="I60" s="140"/>
      <c r="J60" s="140"/>
      <c r="K60" s="140"/>
      <c r="L60" s="147"/>
      <c r="M60" s="153"/>
      <c r="N60" s="147"/>
      <c r="O60" s="141"/>
      <c r="P60" s="141"/>
      <c r="Q60" s="151"/>
      <c r="R60" s="140"/>
      <c r="S60" s="140"/>
    </row>
    <row r="61" ht="33.75" customHeight="1">
      <c r="A61" s="140"/>
      <c r="B61" s="140"/>
      <c r="C61" s="147">
        <f>IFERROR(__xludf.DUMMYFUNCTION("""COMPUTED_VALUE"""),774892.0)</f>
        <v>774892</v>
      </c>
      <c r="D61" s="148" t="str">
        <f>IFERROR(__xludf.DUMMYFUNCTION("""COMPUTED_VALUE"""),"Operational Excellence Work-Out and Kaizen Facilitator")</f>
        <v>Operational Excellence Work-Out and Kaizen Facilitator</v>
      </c>
      <c r="E61" s="147" t="str">
        <f>IFERROR(__xludf.DUMMYFUNCTION("""COMPUTED_VALUE"""),"General")</f>
        <v>General</v>
      </c>
      <c r="F61" s="141" t="str">
        <f>IFERROR(__xludf.DUMMYFUNCTION("""COMPUTED_VALUE"""),"Intermediate")</f>
        <v>Intermediate</v>
      </c>
      <c r="G61" s="143">
        <f>IFERROR(__xludf.DUMMYFUNCTION("""COMPUTED_VALUE"""),0.049074074074074076)</f>
        <v>0.04907407407</v>
      </c>
      <c r="H61" s="151"/>
      <c r="I61" s="140"/>
      <c r="J61" s="140"/>
      <c r="K61" s="140"/>
      <c r="L61" s="147"/>
      <c r="M61" s="153"/>
      <c r="N61" s="147"/>
      <c r="O61" s="141"/>
      <c r="P61" s="141"/>
      <c r="Q61" s="151"/>
      <c r="R61" s="140"/>
      <c r="S61" s="140"/>
    </row>
    <row r="62" ht="33.75" customHeight="1">
      <c r="A62" s="140"/>
      <c r="B62" s="140"/>
      <c r="C62" s="147">
        <f>IFERROR(__xludf.DUMMYFUNCTION("""COMPUTED_VALUE"""),628691.0)</f>
        <v>628691</v>
      </c>
      <c r="D62" s="148" t="str">
        <f>IFERROR(__xludf.DUMMYFUNCTION("""COMPUTED_VALUE"""),"Product Management: Building a Product Strategy")</f>
        <v>Product Management: Building a Product Strategy</v>
      </c>
      <c r="E62" s="147" t="str">
        <f>IFERROR(__xludf.DUMMYFUNCTION("""COMPUTED_VALUE"""),"General")</f>
        <v>General</v>
      </c>
      <c r="F62" s="141" t="str">
        <f>IFERROR(__xludf.DUMMYFUNCTION("""COMPUTED_VALUE"""),"Intermediate")</f>
        <v>Intermediate</v>
      </c>
      <c r="G62" s="143">
        <f>IFERROR(__xludf.DUMMYFUNCTION("""COMPUTED_VALUE"""),0.04576388888888889)</f>
        <v>0.04576388889</v>
      </c>
      <c r="H62" s="151"/>
      <c r="I62" s="140"/>
      <c r="J62" s="140"/>
      <c r="K62" s="140"/>
      <c r="L62" s="147"/>
      <c r="M62" s="153"/>
      <c r="N62" s="147"/>
      <c r="O62" s="141"/>
      <c r="P62" s="141"/>
      <c r="Q62" s="151"/>
      <c r="R62" s="140"/>
      <c r="S62" s="140"/>
    </row>
    <row r="63" ht="33.75" customHeight="1">
      <c r="A63" s="140"/>
      <c r="B63" s="140"/>
      <c r="C63" s="147">
        <f>IFERROR(__xludf.DUMMYFUNCTION("""COMPUTED_VALUE"""),396669.0)</f>
        <v>396669</v>
      </c>
      <c r="D63" s="148" t="str">
        <f>IFERROR(__xludf.DUMMYFUNCTION("""COMPUTED_VALUE"""),"Purchasing Foundations")</f>
        <v>Purchasing Foundations</v>
      </c>
      <c r="E63" s="147" t="str">
        <f>IFERROR(__xludf.DUMMYFUNCTION("""COMPUTED_VALUE"""),"General")</f>
        <v>General</v>
      </c>
      <c r="F63" s="141" t="str">
        <f>IFERROR(__xludf.DUMMYFUNCTION("""COMPUTED_VALUE"""),"Intermediate")</f>
        <v>Intermediate</v>
      </c>
      <c r="G63" s="143">
        <f>IFERROR(__xludf.DUMMYFUNCTION("""COMPUTED_VALUE"""),0.05423611111111111)</f>
        <v>0.05423611111</v>
      </c>
      <c r="H63" s="151"/>
      <c r="I63" s="140"/>
      <c r="J63" s="140"/>
      <c r="K63" s="140"/>
      <c r="L63" s="147"/>
      <c r="M63" s="153"/>
      <c r="N63" s="147"/>
      <c r="O63" s="141"/>
      <c r="P63" s="141"/>
      <c r="Q63" s="151"/>
      <c r="R63" s="140"/>
      <c r="S63" s="140"/>
    </row>
    <row r="64" ht="33.75" customHeight="1">
      <c r="A64" s="140"/>
      <c r="B64" s="140"/>
      <c r="C64" s="147">
        <f>IFERROR(__xludf.DUMMYFUNCTION("""COMPUTED_VALUE"""),550747.0)</f>
        <v>550747</v>
      </c>
      <c r="D64" s="148" t="str">
        <f>IFERROR(__xludf.DUMMYFUNCTION("""COMPUTED_VALUE"""),"Six Sigma: Green Belt")</f>
        <v>Six Sigma: Green Belt</v>
      </c>
      <c r="E64" s="147" t="str">
        <f>IFERROR(__xludf.DUMMYFUNCTION("""COMPUTED_VALUE"""),"General")</f>
        <v>General</v>
      </c>
      <c r="F64" s="141" t="str">
        <f>IFERROR(__xludf.DUMMYFUNCTION("""COMPUTED_VALUE"""),"Intermediate")</f>
        <v>Intermediate</v>
      </c>
      <c r="G64" s="143">
        <f>IFERROR(__xludf.DUMMYFUNCTION("""COMPUTED_VALUE"""),0.0787962962962963)</f>
        <v>0.0787962963</v>
      </c>
      <c r="H64" s="151"/>
      <c r="I64" s="140"/>
      <c r="J64" s="140"/>
      <c r="K64" s="140"/>
      <c r="L64" s="147"/>
      <c r="M64" s="153"/>
      <c r="N64" s="147"/>
      <c r="O64" s="141"/>
      <c r="P64" s="141"/>
      <c r="Q64" s="151"/>
      <c r="R64" s="140"/>
      <c r="S64" s="140"/>
    </row>
    <row r="65" ht="33.75" customHeight="1">
      <c r="A65" s="140"/>
      <c r="B65" s="140"/>
      <c r="C65" s="147">
        <f>IFERROR(__xludf.DUMMYFUNCTION("""COMPUTED_VALUE"""),2805121.0)</f>
        <v>2805121</v>
      </c>
      <c r="D65" s="148" t="str">
        <f>IFERROR(__xludf.DUMMYFUNCTION("""COMPUTED_VALUE"""),"Evaluating Business Investment Decisions")</f>
        <v>Evaluating Business Investment Decisions</v>
      </c>
      <c r="E65" s="147" t="str">
        <f>IFERROR(__xludf.DUMMYFUNCTION("""COMPUTED_VALUE"""),"General")</f>
        <v>General</v>
      </c>
      <c r="F65" s="141" t="str">
        <f>IFERROR(__xludf.DUMMYFUNCTION("""COMPUTED_VALUE"""),"Intermediate")</f>
        <v>Intermediate</v>
      </c>
      <c r="G65" s="143">
        <f>IFERROR(__xludf.DUMMYFUNCTION("""COMPUTED_VALUE"""),0.03469907407407408)</f>
        <v>0.03469907407</v>
      </c>
      <c r="H65" s="151"/>
      <c r="I65" s="140"/>
      <c r="J65" s="140"/>
      <c r="K65" s="140"/>
      <c r="L65" s="147"/>
      <c r="M65" s="153"/>
      <c r="N65" s="147"/>
      <c r="O65" s="141"/>
      <c r="P65" s="141"/>
      <c r="Q65" s="151"/>
      <c r="R65" s="140"/>
      <c r="S65" s="140"/>
    </row>
    <row r="66" ht="33.75" customHeight="1">
      <c r="A66" s="140"/>
      <c r="B66" s="140"/>
      <c r="C66" s="147">
        <f>IFERROR(__xludf.DUMMYFUNCTION("""COMPUTED_VALUE"""),2816033.0)</f>
        <v>2816033</v>
      </c>
      <c r="D66" s="148" t="str">
        <f>IFERROR(__xludf.DUMMYFUNCTION("""COMPUTED_VALUE"""),"Managing Logistics")</f>
        <v>Managing Logistics</v>
      </c>
      <c r="E66" s="147" t="str">
        <f>IFERROR(__xludf.DUMMYFUNCTION("""COMPUTED_VALUE"""),"General")</f>
        <v>General</v>
      </c>
      <c r="F66" s="141" t="str">
        <f>IFERROR(__xludf.DUMMYFUNCTION("""COMPUTED_VALUE"""),"Intermediate")</f>
        <v>Intermediate</v>
      </c>
      <c r="G66" s="143">
        <f>IFERROR(__xludf.DUMMYFUNCTION("""COMPUTED_VALUE"""),0.026087962962962962)</f>
        <v>0.02608796296</v>
      </c>
      <c r="H66" s="151"/>
      <c r="I66" s="140"/>
      <c r="J66" s="140"/>
      <c r="K66" s="140"/>
      <c r="L66" s="147"/>
      <c r="M66" s="153"/>
      <c r="N66" s="147"/>
      <c r="O66" s="141"/>
      <c r="P66" s="141"/>
      <c r="Q66" s="151"/>
      <c r="R66" s="140"/>
      <c r="S66" s="140"/>
    </row>
    <row r="67" ht="33.75" customHeight="1">
      <c r="A67" s="140"/>
      <c r="B67" s="140"/>
      <c r="C67" s="147">
        <f>IFERROR(__xludf.DUMMYFUNCTION("""COMPUTED_VALUE"""),2823100.0)</f>
        <v>2823100</v>
      </c>
      <c r="D67" s="148" t="str">
        <f>IFERROR(__xludf.DUMMYFUNCTION("""COMPUTED_VALUE"""),"Excel: Implementing Balanced Scorecards with KPIs")</f>
        <v>Excel: Implementing Balanced Scorecards with KPIs</v>
      </c>
      <c r="E67" s="147" t="str">
        <f>IFERROR(__xludf.DUMMYFUNCTION("""COMPUTED_VALUE"""),"General")</f>
        <v>General</v>
      </c>
      <c r="F67" s="141" t="str">
        <f>IFERROR(__xludf.DUMMYFUNCTION("""COMPUTED_VALUE"""),"Intermediate")</f>
        <v>Intermediate</v>
      </c>
      <c r="G67" s="143">
        <f>IFERROR(__xludf.DUMMYFUNCTION("""COMPUTED_VALUE"""),0.04454861111111111)</f>
        <v>0.04454861111</v>
      </c>
      <c r="H67" s="151"/>
      <c r="I67" s="140"/>
      <c r="J67" s="140"/>
      <c r="K67" s="140"/>
      <c r="L67" s="147"/>
      <c r="M67" s="153"/>
      <c r="N67" s="147"/>
      <c r="O67" s="141"/>
      <c r="P67" s="141"/>
      <c r="Q67" s="151"/>
      <c r="R67" s="140"/>
      <c r="S67" s="140"/>
    </row>
    <row r="68" ht="33.75" customHeight="1">
      <c r="A68" s="140"/>
      <c r="B68" s="140"/>
      <c r="C68" s="147">
        <f>IFERROR(__xludf.DUMMYFUNCTION("""COMPUTED_VALUE"""),2813150.0)</f>
        <v>2813150</v>
      </c>
      <c r="D68" s="148" t="str">
        <f>IFERROR(__xludf.DUMMYFUNCTION("""COMPUTED_VALUE"""),"Agile Software Development: Clean Coding Practices")</f>
        <v>Agile Software Development: Clean Coding Practices</v>
      </c>
      <c r="E68" s="147" t="str">
        <f>IFERROR(__xludf.DUMMYFUNCTION("""COMPUTED_VALUE"""),"General")</f>
        <v>General</v>
      </c>
      <c r="F68" s="141" t="str">
        <f>IFERROR(__xludf.DUMMYFUNCTION("""COMPUTED_VALUE"""),"Intermediate")</f>
        <v>Intermediate</v>
      </c>
      <c r="G68" s="143">
        <f>IFERROR(__xludf.DUMMYFUNCTION("""COMPUTED_VALUE"""),0.04511574074074074)</f>
        <v>0.04511574074</v>
      </c>
      <c r="H68" s="151"/>
      <c r="I68" s="140"/>
      <c r="J68" s="140"/>
      <c r="K68" s="140"/>
      <c r="L68" s="147"/>
      <c r="M68" s="153"/>
      <c r="N68" s="147"/>
      <c r="O68" s="141"/>
      <c r="P68" s="141"/>
      <c r="Q68" s="151"/>
      <c r="R68" s="140"/>
      <c r="S68" s="140"/>
    </row>
    <row r="69" ht="33.75" customHeight="1">
      <c r="A69" s="140"/>
      <c r="B69" s="140"/>
      <c r="C69" s="147">
        <f>IFERROR(__xludf.DUMMYFUNCTION("""COMPUTED_VALUE"""),2825499.0)</f>
        <v>2825499</v>
      </c>
      <c r="D69" s="148" t="str">
        <f>IFERROR(__xludf.DUMMYFUNCTION("""COMPUTED_VALUE"""),"Predictive Analytics Essential Training for Executives")</f>
        <v>Predictive Analytics Essential Training for Executives</v>
      </c>
      <c r="E69" s="147" t="str">
        <f>IFERROR(__xludf.DUMMYFUNCTION("""COMPUTED_VALUE"""),"General")</f>
        <v>General</v>
      </c>
      <c r="F69" s="141" t="str">
        <f>IFERROR(__xludf.DUMMYFUNCTION("""COMPUTED_VALUE"""),"Intermediate")</f>
        <v>Intermediate</v>
      </c>
      <c r="G69" s="143">
        <f>IFERROR(__xludf.DUMMYFUNCTION("""COMPUTED_VALUE"""),0.05576388888888889)</f>
        <v>0.05576388889</v>
      </c>
      <c r="H69" s="151"/>
      <c r="I69" s="140"/>
      <c r="J69" s="140"/>
      <c r="K69" s="140"/>
      <c r="L69" s="147"/>
      <c r="M69" s="153"/>
      <c r="N69" s="147"/>
      <c r="O69" s="141"/>
      <c r="P69" s="141"/>
      <c r="Q69" s="151"/>
      <c r="R69" s="140"/>
      <c r="S69" s="140"/>
    </row>
    <row r="70" ht="33.75" customHeight="1">
      <c r="A70" s="140"/>
      <c r="B70" s="140"/>
      <c r="C70" s="147">
        <f>IFERROR(__xludf.DUMMYFUNCTION("""COMPUTED_VALUE"""),2824053.0)</f>
        <v>2824053</v>
      </c>
      <c r="D70" s="148" t="str">
        <f>IFERROR(__xludf.DUMMYFUNCTION("""COMPUTED_VALUE"""),"SAP Ariba Supply Chain Collaboration Overview")</f>
        <v>SAP Ariba Supply Chain Collaboration Overview</v>
      </c>
      <c r="E70" s="147" t="str">
        <f>IFERROR(__xludf.DUMMYFUNCTION("""COMPUTED_VALUE"""),"General")</f>
        <v>General</v>
      </c>
      <c r="F70" s="141" t="str">
        <f>IFERROR(__xludf.DUMMYFUNCTION("""COMPUTED_VALUE"""),"Intermediate")</f>
        <v>Intermediate</v>
      </c>
      <c r="G70" s="143">
        <f>IFERROR(__xludf.DUMMYFUNCTION("""COMPUTED_VALUE"""),0.04510416666666667)</f>
        <v>0.04510416667</v>
      </c>
      <c r="H70" s="151"/>
      <c r="I70" s="140"/>
      <c r="J70" s="140"/>
      <c r="K70" s="140"/>
      <c r="L70" s="147"/>
      <c r="M70" s="153"/>
      <c r="N70" s="147"/>
      <c r="O70" s="141"/>
      <c r="P70" s="141"/>
      <c r="Q70" s="151"/>
      <c r="R70" s="140"/>
      <c r="S70" s="140"/>
    </row>
    <row r="71" ht="33.75" customHeight="1">
      <c r="A71" s="140"/>
      <c r="B71" s="140"/>
      <c r="C71" s="147">
        <f>IFERROR(__xludf.DUMMYFUNCTION("""COMPUTED_VALUE"""),5019813.0)</f>
        <v>5019813</v>
      </c>
      <c r="D71" s="148" t="str">
        <f>IFERROR(__xludf.DUMMYFUNCTION("""COMPUTED_VALUE"""),"AI in Fintech Essential Training")</f>
        <v>AI in Fintech Essential Training</v>
      </c>
      <c r="E71" s="147" t="str">
        <f>IFERROR(__xludf.DUMMYFUNCTION("""COMPUTED_VALUE"""),"General")</f>
        <v>General</v>
      </c>
      <c r="F71" s="141" t="str">
        <f>IFERROR(__xludf.DUMMYFUNCTION("""COMPUTED_VALUE"""),"Intermediate")</f>
        <v>Intermediate</v>
      </c>
      <c r="G71" s="143">
        <f>IFERROR(__xludf.DUMMYFUNCTION("""COMPUTED_VALUE"""),0.06487268518518519)</f>
        <v>0.06487268519</v>
      </c>
      <c r="H71" s="151"/>
      <c r="I71" s="140"/>
      <c r="J71" s="140"/>
      <c r="K71" s="140"/>
      <c r="L71" s="147"/>
      <c r="M71" s="153"/>
      <c r="N71" s="147"/>
      <c r="O71" s="141"/>
      <c r="P71" s="141"/>
      <c r="Q71" s="151"/>
      <c r="R71" s="140"/>
      <c r="S71" s="140"/>
    </row>
    <row r="72" ht="33.75" customHeight="1">
      <c r="A72" s="140"/>
      <c r="B72" s="140"/>
      <c r="C72" s="147">
        <f>IFERROR(__xludf.DUMMYFUNCTION("""COMPUTED_VALUE"""),2832012.0)</f>
        <v>2832012</v>
      </c>
      <c r="D72" s="148" t="str">
        <f>IFERROR(__xludf.DUMMYFUNCTION("""COMPUTED_VALUE"""),"Introduction to SAP BI/BW")</f>
        <v>Introduction to SAP BI/BW</v>
      </c>
      <c r="E72" s="147" t="str">
        <f>IFERROR(__xludf.DUMMYFUNCTION("""COMPUTED_VALUE"""),"General")</f>
        <v>General</v>
      </c>
      <c r="F72" s="141" t="str">
        <f>IFERROR(__xludf.DUMMYFUNCTION("""COMPUTED_VALUE"""),"Intermediate")</f>
        <v>Intermediate</v>
      </c>
      <c r="G72" s="143">
        <f>IFERROR(__xludf.DUMMYFUNCTION("""COMPUTED_VALUE"""),0.054293981481481485)</f>
        <v>0.05429398148</v>
      </c>
      <c r="H72" s="151"/>
      <c r="I72" s="140"/>
      <c r="J72" s="140"/>
      <c r="K72" s="140"/>
      <c r="L72" s="147"/>
      <c r="M72" s="153"/>
      <c r="N72" s="147"/>
      <c r="O72" s="141"/>
      <c r="P72" s="141"/>
      <c r="Q72" s="151"/>
      <c r="R72" s="140"/>
      <c r="S72" s="140"/>
    </row>
    <row r="73" ht="33.75" customHeight="1">
      <c r="A73" s="140"/>
      <c r="B73" s="140"/>
      <c r="C73" s="147">
        <f>IFERROR(__xludf.DUMMYFUNCTION("""COMPUTED_VALUE"""),2832013.0)</f>
        <v>2832013</v>
      </c>
      <c r="D73" s="148" t="str">
        <f>IFERROR(__xludf.DUMMYFUNCTION("""COMPUTED_VALUE"""),"SAP BI/BW: Project Design and Implementation")</f>
        <v>SAP BI/BW: Project Design and Implementation</v>
      </c>
      <c r="E73" s="147" t="str">
        <f>IFERROR(__xludf.DUMMYFUNCTION("""COMPUTED_VALUE"""),"General")</f>
        <v>General</v>
      </c>
      <c r="F73" s="141" t="str">
        <f>IFERROR(__xludf.DUMMYFUNCTION("""COMPUTED_VALUE"""),"Intermediate")</f>
        <v>Intermediate</v>
      </c>
      <c r="G73" s="143">
        <f>IFERROR(__xludf.DUMMYFUNCTION("""COMPUTED_VALUE"""),0.13662037037037036)</f>
        <v>0.1366203704</v>
      </c>
      <c r="H73" s="151"/>
      <c r="I73" s="140"/>
      <c r="J73" s="140"/>
      <c r="K73" s="140"/>
      <c r="L73" s="147"/>
      <c r="M73" s="153"/>
      <c r="N73" s="147"/>
      <c r="O73" s="141"/>
      <c r="P73" s="141"/>
      <c r="Q73" s="151"/>
      <c r="R73" s="140"/>
      <c r="S73" s="140"/>
    </row>
    <row r="74" ht="33.75" customHeight="1">
      <c r="A74" s="140"/>
      <c r="B74" s="140"/>
      <c r="C74" s="147">
        <f>IFERROR(__xludf.DUMMYFUNCTION("""COMPUTED_VALUE"""),2809588.0)</f>
        <v>2809588</v>
      </c>
      <c r="D74" s="148" t="str">
        <f>IFERROR(__xludf.DUMMYFUNCTION("""COMPUTED_VALUE"""),"Following the Digital Thread")</f>
        <v>Following the Digital Thread</v>
      </c>
      <c r="E74" s="147" t="str">
        <f>IFERROR(__xludf.DUMMYFUNCTION("""COMPUTED_VALUE"""),"General")</f>
        <v>General</v>
      </c>
      <c r="F74" s="141" t="str">
        <f>IFERROR(__xludf.DUMMYFUNCTION("""COMPUTED_VALUE"""),"General")</f>
        <v>General</v>
      </c>
      <c r="G74" s="143">
        <f>IFERROR(__xludf.DUMMYFUNCTION("""COMPUTED_VALUE"""),0.04043981481481482)</f>
        <v>0.04043981481</v>
      </c>
      <c r="H74" s="151"/>
      <c r="I74" s="140"/>
      <c r="J74" s="140"/>
      <c r="K74" s="140"/>
      <c r="L74" s="147"/>
      <c r="M74" s="153"/>
      <c r="N74" s="147"/>
      <c r="O74" s="141"/>
      <c r="P74" s="141"/>
      <c r="Q74" s="151"/>
      <c r="R74" s="140"/>
      <c r="S74" s="140"/>
    </row>
    <row r="75" ht="33.75" customHeight="1">
      <c r="A75" s="140"/>
      <c r="B75" s="140"/>
      <c r="C75" s="147">
        <f>IFERROR(__xludf.DUMMYFUNCTION("""COMPUTED_VALUE"""),2839009.0)</f>
        <v>2839009</v>
      </c>
      <c r="D75" s="148" t="str">
        <f>IFERROR(__xludf.DUMMYFUNCTION("""COMPUTED_VALUE"""),"Supply Chain Basics For Everyone")</f>
        <v>Supply Chain Basics For Everyone</v>
      </c>
      <c r="E75" s="147" t="str">
        <f>IFERROR(__xludf.DUMMYFUNCTION("""COMPUTED_VALUE"""),"General")</f>
        <v>General</v>
      </c>
      <c r="F75" s="141" t="str">
        <f>IFERROR(__xludf.DUMMYFUNCTION("""COMPUTED_VALUE"""),"General")</f>
        <v>General</v>
      </c>
      <c r="G75" s="143">
        <f>IFERROR(__xludf.DUMMYFUNCTION("""COMPUTED_VALUE"""),0.011805555555555555)</f>
        <v>0.01180555556</v>
      </c>
      <c r="H75" s="151"/>
      <c r="I75" s="140"/>
      <c r="J75" s="140"/>
      <c r="K75" s="140"/>
      <c r="L75" s="147"/>
      <c r="M75" s="153"/>
      <c r="N75" s="147"/>
      <c r="O75" s="141"/>
      <c r="P75" s="141"/>
      <c r="Q75" s="151"/>
      <c r="R75" s="140"/>
      <c r="S75" s="140"/>
    </row>
    <row r="76" ht="33.75" customHeight="1">
      <c r="A76" s="140"/>
      <c r="B76" s="140"/>
      <c r="C76" s="147">
        <f>IFERROR(__xludf.DUMMYFUNCTION("""COMPUTED_VALUE"""),647659.0)</f>
        <v>647659</v>
      </c>
      <c r="D76" s="148" t="str">
        <f>IFERROR(__xludf.DUMMYFUNCTION("""COMPUTED_VALUE"""),"Operational Excellence Foundations")</f>
        <v>Operational Excellence Foundations</v>
      </c>
      <c r="E76" s="147" t="str">
        <f>IFERROR(__xludf.DUMMYFUNCTION("""COMPUTED_VALUE"""),"General")</f>
        <v>General</v>
      </c>
      <c r="F76" s="141" t="str">
        <f>IFERROR(__xludf.DUMMYFUNCTION("""COMPUTED_VALUE"""),"General")</f>
        <v>General</v>
      </c>
      <c r="G76" s="143">
        <f>IFERROR(__xludf.DUMMYFUNCTION("""COMPUTED_VALUE"""),0.06450231481481482)</f>
        <v>0.06450231481</v>
      </c>
      <c r="H76" s="151"/>
      <c r="I76" s="140"/>
      <c r="J76" s="140"/>
      <c r="K76" s="140"/>
      <c r="L76" s="147"/>
      <c r="M76" s="153"/>
      <c r="N76" s="147"/>
      <c r="O76" s="141"/>
      <c r="P76" s="141"/>
      <c r="Q76" s="151"/>
      <c r="R76" s="140"/>
      <c r="S76" s="140"/>
    </row>
    <row r="77" ht="33.75" customHeight="1">
      <c r="A77" s="140"/>
      <c r="B77" s="140"/>
      <c r="C77" s="147">
        <f>IFERROR(__xludf.DUMMYFUNCTION("""COMPUTED_VALUE"""),2807102.0)</f>
        <v>2807102</v>
      </c>
      <c r="D77" s="148" t="str">
        <f>IFERROR(__xludf.DUMMYFUNCTION("""COMPUTED_VALUE"""),"Supply Chain and Operations Careers: Certification Tips and Tricks")</f>
        <v>Supply Chain and Operations Careers: Certification Tips and Tricks</v>
      </c>
      <c r="E77" s="147" t="str">
        <f>IFERROR(__xludf.DUMMYFUNCTION("""COMPUTED_VALUE"""),"General")</f>
        <v>General</v>
      </c>
      <c r="F77" s="141" t="str">
        <f>IFERROR(__xludf.DUMMYFUNCTION("""COMPUTED_VALUE"""),"General")</f>
        <v>General</v>
      </c>
      <c r="G77" s="143">
        <f>IFERROR(__xludf.DUMMYFUNCTION("""COMPUTED_VALUE"""),0.09653935185185185)</f>
        <v>0.09653935185</v>
      </c>
      <c r="H77" s="151"/>
      <c r="I77" s="140"/>
      <c r="J77" s="140"/>
      <c r="K77" s="140"/>
      <c r="L77" s="147"/>
      <c r="M77" s="153"/>
      <c r="N77" s="147"/>
      <c r="O77" s="141"/>
      <c r="P77" s="141"/>
      <c r="Q77" s="151"/>
      <c r="R77" s="140"/>
      <c r="S77" s="140"/>
    </row>
    <row r="78" ht="33.75" customHeight="1">
      <c r="A78" s="140"/>
      <c r="B78" s="140"/>
      <c r="C78" s="147">
        <f>IFERROR(__xludf.DUMMYFUNCTION("""COMPUTED_VALUE"""),2835087.0)</f>
        <v>2835087</v>
      </c>
      <c r="D78" s="148" t="str">
        <f>IFERROR(__xludf.DUMMYFUNCTION("""COMPUTED_VALUE"""),"How to Make Strategic Thinking a Habit")</f>
        <v>How to Make Strategic Thinking a Habit</v>
      </c>
      <c r="E78" s="147" t="str">
        <f>IFERROR(__xludf.DUMMYFUNCTION("""COMPUTED_VALUE"""),"General")</f>
        <v>General</v>
      </c>
      <c r="F78" s="141" t="str">
        <f>IFERROR(__xludf.DUMMYFUNCTION("""COMPUTED_VALUE"""),"General")</f>
        <v>General</v>
      </c>
      <c r="G78" s="143">
        <f>IFERROR(__xludf.DUMMYFUNCTION("""COMPUTED_VALUE"""),0.023680555555555555)</f>
        <v>0.02368055556</v>
      </c>
      <c r="H78" s="151"/>
      <c r="I78" s="140"/>
      <c r="J78" s="140"/>
      <c r="K78" s="140"/>
      <c r="L78" s="147"/>
      <c r="M78" s="153"/>
      <c r="N78" s="147"/>
      <c r="O78" s="141"/>
      <c r="P78" s="141"/>
      <c r="Q78" s="151"/>
      <c r="R78" s="140"/>
      <c r="S78" s="140"/>
    </row>
    <row r="79" ht="33.75" customHeight="1">
      <c r="A79" s="140"/>
      <c r="B79" s="140"/>
      <c r="C79" s="147">
        <f>IFERROR(__xludf.DUMMYFUNCTION("""COMPUTED_VALUE"""),2841399.0)</f>
        <v>2841399</v>
      </c>
      <c r="D79" s="148" t="str">
        <f>IFERROR(__xludf.DUMMYFUNCTION("""COMPUTED_VALUE"""),"Design Thinking: Understanding the Process")</f>
        <v>Design Thinking: Understanding the Process</v>
      </c>
      <c r="E79" s="147" t="str">
        <f>IFERROR(__xludf.DUMMYFUNCTION("""COMPUTED_VALUE"""),"General")</f>
        <v>General</v>
      </c>
      <c r="F79" s="141" t="str">
        <f>IFERROR(__xludf.DUMMYFUNCTION("""COMPUTED_VALUE"""),"General")</f>
        <v>General</v>
      </c>
      <c r="G79" s="143">
        <f>IFERROR(__xludf.DUMMYFUNCTION("""COMPUTED_VALUE"""),0.02912037037037037)</f>
        <v>0.02912037037</v>
      </c>
      <c r="H79" s="151"/>
      <c r="I79" s="140"/>
      <c r="J79" s="140"/>
      <c r="K79" s="140"/>
      <c r="L79" s="147"/>
      <c r="M79" s="153"/>
      <c r="N79" s="147"/>
      <c r="O79" s="141"/>
      <c r="P79" s="141"/>
      <c r="Q79" s="151"/>
      <c r="R79" s="140"/>
      <c r="S79" s="140"/>
    </row>
    <row r="80" ht="33.75" customHeight="1">
      <c r="A80" s="140"/>
      <c r="B80" s="140"/>
      <c r="C80" s="147">
        <f>IFERROR(__xludf.DUMMYFUNCTION("""COMPUTED_VALUE"""),2874274.0)</f>
        <v>2874274</v>
      </c>
      <c r="D80" s="148" t="str">
        <f>IFERROR(__xludf.DUMMYFUNCTION("""COMPUTED_VALUE"""),"Outsourcing Critical Success Factors")</f>
        <v>Outsourcing Critical Success Factors</v>
      </c>
      <c r="E80" s="147" t="str">
        <f>IFERROR(__xludf.DUMMYFUNCTION("""COMPUTED_VALUE"""),"General")</f>
        <v>General</v>
      </c>
      <c r="F80" s="141" t="str">
        <f>IFERROR(__xludf.DUMMYFUNCTION("""COMPUTED_VALUE"""),"General")</f>
        <v>General</v>
      </c>
      <c r="G80" s="143">
        <f>IFERROR(__xludf.DUMMYFUNCTION("""COMPUTED_VALUE"""),0.0265625)</f>
        <v>0.0265625</v>
      </c>
      <c r="H80" s="151"/>
      <c r="I80" s="140"/>
      <c r="J80" s="140"/>
      <c r="K80" s="140"/>
      <c r="L80" s="147"/>
      <c r="M80" s="153"/>
      <c r="N80" s="147"/>
      <c r="O80" s="141"/>
      <c r="P80" s="141"/>
      <c r="Q80" s="151"/>
      <c r="R80" s="140"/>
      <c r="S80" s="140"/>
    </row>
    <row r="81" ht="33.75" customHeight="1">
      <c r="A81" s="154"/>
      <c r="B81" s="154"/>
      <c r="C81" s="147">
        <f>IFERROR(__xludf.DUMMYFUNCTION("""COMPUTED_VALUE"""),2874275.0)</f>
        <v>2874275</v>
      </c>
      <c r="D81" s="148" t="str">
        <f>IFERROR(__xludf.DUMMYFUNCTION("""COMPUTED_VALUE"""),"Outsourcing Management")</f>
        <v>Outsourcing Management</v>
      </c>
      <c r="E81" s="147" t="str">
        <f>IFERROR(__xludf.DUMMYFUNCTION("""COMPUTED_VALUE"""),"General")</f>
        <v>General</v>
      </c>
      <c r="F81" s="141" t="str">
        <f>IFERROR(__xludf.DUMMYFUNCTION("""COMPUTED_VALUE"""),"General")</f>
        <v>General</v>
      </c>
      <c r="G81" s="143">
        <f>IFERROR(__xludf.DUMMYFUNCTION("""COMPUTED_VALUE"""),0.02400462962962963)</f>
        <v>0.02400462963</v>
      </c>
      <c r="H81" s="151"/>
      <c r="I81" s="154"/>
      <c r="J81" s="154"/>
      <c r="K81" s="154"/>
      <c r="L81" s="147"/>
      <c r="M81" s="153"/>
      <c r="N81" s="147"/>
      <c r="O81" s="141"/>
      <c r="P81" s="141"/>
      <c r="Q81" s="151"/>
      <c r="R81" s="154"/>
      <c r="S81" s="154"/>
    </row>
    <row r="82" ht="33.75" customHeight="1">
      <c r="A82" s="154"/>
      <c r="B82" s="154"/>
      <c r="C82" s="147"/>
      <c r="D82" s="153"/>
      <c r="E82" s="147"/>
      <c r="F82" s="141"/>
      <c r="G82" s="141"/>
      <c r="H82" s="151"/>
      <c r="I82" s="154"/>
      <c r="J82" s="154"/>
      <c r="K82" s="154"/>
      <c r="L82" s="147"/>
      <c r="M82" s="153"/>
      <c r="N82" s="147"/>
      <c r="O82" s="141"/>
      <c r="P82" s="141"/>
      <c r="Q82" s="151"/>
      <c r="R82" s="154"/>
      <c r="S82" s="154"/>
    </row>
    <row r="83" ht="33.75" customHeight="1">
      <c r="A83" s="154"/>
      <c r="B83" s="154"/>
      <c r="C83" s="147"/>
      <c r="D83" s="153"/>
      <c r="E83" s="147"/>
      <c r="F83" s="141"/>
      <c r="G83" s="141"/>
      <c r="H83" s="151"/>
      <c r="I83" s="154"/>
      <c r="J83" s="154"/>
      <c r="K83" s="154"/>
      <c r="L83" s="147"/>
      <c r="M83" s="153"/>
      <c r="N83" s="147"/>
      <c r="O83" s="141"/>
      <c r="P83" s="141"/>
      <c r="Q83" s="151"/>
      <c r="R83" s="154"/>
      <c r="S83" s="154"/>
    </row>
    <row r="84" ht="33.75" customHeight="1">
      <c r="A84" s="154"/>
      <c r="B84" s="154"/>
      <c r="C84" s="147"/>
      <c r="D84" s="153"/>
      <c r="E84" s="147"/>
      <c r="F84" s="141"/>
      <c r="G84" s="141"/>
      <c r="H84" s="151"/>
      <c r="I84" s="154"/>
      <c r="J84" s="154"/>
      <c r="K84" s="154"/>
      <c r="L84" s="147"/>
      <c r="M84" s="153"/>
      <c r="N84" s="147"/>
      <c r="O84" s="141"/>
      <c r="P84" s="141"/>
      <c r="Q84" s="151"/>
      <c r="R84" s="154"/>
      <c r="S84" s="154"/>
    </row>
    <row r="85" ht="33.75" customHeight="1">
      <c r="A85" s="154"/>
      <c r="B85" s="154"/>
      <c r="C85" s="147"/>
      <c r="D85" s="153"/>
      <c r="E85" s="147"/>
      <c r="F85" s="141"/>
      <c r="G85" s="141"/>
      <c r="H85" s="151"/>
      <c r="I85" s="154"/>
      <c r="J85" s="154"/>
      <c r="K85" s="154"/>
      <c r="L85" s="147"/>
      <c r="M85" s="153"/>
      <c r="N85" s="147"/>
      <c r="O85" s="141"/>
      <c r="P85" s="141"/>
      <c r="Q85" s="151"/>
      <c r="R85" s="154"/>
      <c r="S85" s="154"/>
    </row>
    <row r="86" ht="33.75" customHeight="1">
      <c r="A86" s="154"/>
      <c r="B86" s="154"/>
      <c r="C86" s="147"/>
      <c r="D86" s="153"/>
      <c r="E86" s="147"/>
      <c r="F86" s="141"/>
      <c r="G86" s="141"/>
      <c r="H86" s="151"/>
      <c r="I86" s="154"/>
      <c r="J86" s="154"/>
      <c r="K86" s="154"/>
      <c r="L86" s="147"/>
      <c r="M86" s="153"/>
      <c r="N86" s="147"/>
      <c r="O86" s="141"/>
      <c r="P86" s="141"/>
      <c r="Q86" s="151"/>
      <c r="R86" s="154"/>
      <c r="S86" s="154"/>
    </row>
    <row r="87" ht="33.75" customHeight="1">
      <c r="A87" s="154"/>
      <c r="B87" s="154"/>
      <c r="C87" s="147"/>
      <c r="D87" s="153"/>
      <c r="E87" s="147"/>
      <c r="F87" s="141"/>
      <c r="G87" s="141"/>
      <c r="H87" s="151"/>
      <c r="I87" s="154"/>
      <c r="J87" s="154"/>
      <c r="K87" s="154"/>
      <c r="L87" s="147"/>
      <c r="M87" s="153"/>
      <c r="N87" s="147"/>
      <c r="O87" s="141"/>
      <c r="P87" s="141"/>
      <c r="Q87" s="151"/>
      <c r="R87" s="154"/>
      <c r="S87" s="154"/>
    </row>
    <row r="88">
      <c r="A88" s="154"/>
      <c r="B88" s="154"/>
      <c r="C88" s="147"/>
      <c r="D88" s="153"/>
      <c r="E88" s="147"/>
      <c r="F88" s="141"/>
      <c r="G88" s="141"/>
      <c r="H88" s="151"/>
      <c r="I88" s="154"/>
      <c r="J88" s="154"/>
      <c r="K88" s="154"/>
      <c r="L88" s="147"/>
      <c r="M88" s="153"/>
      <c r="N88" s="147"/>
      <c r="O88" s="141"/>
      <c r="P88" s="141"/>
      <c r="Q88" s="151"/>
      <c r="R88" s="154"/>
      <c r="S88" s="154"/>
    </row>
    <row r="89">
      <c r="A89" s="154"/>
      <c r="B89" s="154"/>
      <c r="C89" s="147"/>
      <c r="D89" s="153"/>
      <c r="E89" s="147"/>
      <c r="F89" s="141"/>
      <c r="G89" s="141"/>
      <c r="H89" s="151"/>
      <c r="I89" s="154"/>
      <c r="J89" s="154"/>
      <c r="K89" s="154"/>
      <c r="L89" s="147"/>
      <c r="M89" s="153"/>
      <c r="N89" s="147"/>
      <c r="O89" s="141"/>
      <c r="P89" s="141"/>
      <c r="Q89" s="151"/>
      <c r="R89" s="154"/>
      <c r="S89" s="154"/>
    </row>
    <row r="90">
      <c r="A90" s="154"/>
      <c r="B90" s="154"/>
      <c r="C90" s="155"/>
      <c r="D90" s="156"/>
      <c r="E90" s="155"/>
      <c r="F90" s="155"/>
      <c r="G90" s="155"/>
      <c r="H90" s="157"/>
      <c r="I90" s="154"/>
      <c r="J90" s="154"/>
      <c r="K90" s="154"/>
      <c r="L90" s="155"/>
      <c r="M90" s="156"/>
      <c r="N90" s="155"/>
      <c r="O90" s="155"/>
      <c r="P90" s="155"/>
      <c r="Q90" s="157"/>
      <c r="R90" s="154"/>
      <c r="S90" s="154"/>
    </row>
    <row r="91">
      <c r="A91" s="154"/>
      <c r="B91" s="154"/>
      <c r="C91" s="155"/>
      <c r="D91" s="156"/>
      <c r="E91" s="155"/>
      <c r="F91" s="155"/>
      <c r="G91" s="155"/>
      <c r="H91" s="157"/>
      <c r="I91" s="154"/>
      <c r="J91" s="154"/>
      <c r="K91" s="154"/>
      <c r="L91" s="155"/>
      <c r="M91" s="156"/>
      <c r="N91" s="155"/>
      <c r="O91" s="155"/>
      <c r="P91" s="155"/>
      <c r="Q91" s="157"/>
      <c r="R91" s="154"/>
      <c r="S91" s="154"/>
    </row>
    <row r="92">
      <c r="A92" s="154"/>
      <c r="B92" s="154"/>
      <c r="C92" s="155"/>
      <c r="D92" s="156"/>
      <c r="E92" s="155"/>
      <c r="F92" s="155"/>
      <c r="G92" s="155"/>
      <c r="H92" s="157"/>
      <c r="I92" s="154"/>
      <c r="J92" s="154"/>
      <c r="K92" s="154"/>
      <c r="L92" s="155"/>
      <c r="M92" s="156"/>
      <c r="N92" s="155"/>
      <c r="O92" s="155"/>
      <c r="P92" s="155"/>
      <c r="Q92" s="157"/>
      <c r="R92" s="154"/>
      <c r="S92" s="154"/>
    </row>
    <row r="93">
      <c r="A93" s="154"/>
      <c r="B93" s="154"/>
      <c r="C93" s="155"/>
      <c r="D93" s="156"/>
      <c r="E93" s="155"/>
      <c r="F93" s="155"/>
      <c r="G93" s="155"/>
      <c r="H93" s="157"/>
      <c r="I93" s="154"/>
      <c r="J93" s="154"/>
      <c r="K93" s="154"/>
      <c r="L93" s="155"/>
      <c r="M93" s="156"/>
      <c r="N93" s="155"/>
      <c r="O93" s="155"/>
      <c r="P93" s="155"/>
      <c r="Q93" s="157"/>
      <c r="R93" s="154"/>
      <c r="S93" s="154"/>
    </row>
    <row r="94">
      <c r="A94" s="154"/>
      <c r="B94" s="154"/>
      <c r="C94" s="155"/>
      <c r="D94" s="156"/>
      <c r="E94" s="155"/>
      <c r="F94" s="155"/>
      <c r="G94" s="155"/>
      <c r="H94" s="157"/>
      <c r="I94" s="154"/>
      <c r="J94" s="154"/>
      <c r="K94" s="154"/>
      <c r="L94" s="155"/>
      <c r="M94" s="156"/>
      <c r="N94" s="155"/>
      <c r="O94" s="155"/>
      <c r="P94" s="155"/>
      <c r="Q94" s="157"/>
      <c r="R94" s="154"/>
      <c r="S94" s="154"/>
    </row>
    <row r="95">
      <c r="A95" s="154"/>
      <c r="B95" s="154"/>
      <c r="C95" s="155"/>
      <c r="D95" s="156"/>
      <c r="E95" s="155"/>
      <c r="F95" s="155"/>
      <c r="G95" s="155"/>
      <c r="H95" s="157"/>
      <c r="I95" s="154"/>
      <c r="J95" s="154"/>
      <c r="K95" s="154"/>
      <c r="L95" s="155"/>
      <c r="M95" s="156"/>
      <c r="N95" s="155"/>
      <c r="O95" s="155"/>
      <c r="P95" s="155"/>
      <c r="Q95" s="157"/>
      <c r="R95" s="154"/>
      <c r="S95" s="154"/>
    </row>
    <row r="96">
      <c r="A96" s="154"/>
      <c r="B96" s="154"/>
      <c r="C96" s="155"/>
      <c r="D96" s="156"/>
      <c r="E96" s="155"/>
      <c r="F96" s="155"/>
      <c r="G96" s="155"/>
      <c r="H96" s="157"/>
      <c r="I96" s="154"/>
      <c r="J96" s="154"/>
      <c r="K96" s="154"/>
      <c r="L96" s="155"/>
      <c r="M96" s="156"/>
      <c r="N96" s="155"/>
      <c r="O96" s="155"/>
      <c r="P96" s="155"/>
      <c r="Q96" s="157"/>
      <c r="R96" s="154"/>
      <c r="S96" s="154"/>
    </row>
    <row r="97">
      <c r="A97" s="154"/>
      <c r="B97" s="154"/>
      <c r="C97" s="155"/>
      <c r="D97" s="156"/>
      <c r="E97" s="155"/>
      <c r="F97" s="155"/>
      <c r="G97" s="155"/>
      <c r="H97" s="157"/>
      <c r="I97" s="154"/>
      <c r="J97" s="154"/>
      <c r="K97" s="154"/>
      <c r="L97" s="155"/>
      <c r="M97" s="156"/>
      <c r="N97" s="155"/>
      <c r="O97" s="155"/>
      <c r="P97" s="155"/>
      <c r="Q97" s="157"/>
      <c r="R97" s="154"/>
      <c r="S97" s="154"/>
    </row>
    <row r="98">
      <c r="A98" s="154"/>
      <c r="B98" s="154"/>
      <c r="C98" s="155"/>
      <c r="D98" s="156"/>
      <c r="E98" s="155"/>
      <c r="F98" s="155"/>
      <c r="G98" s="155"/>
      <c r="H98" s="157"/>
      <c r="I98" s="154"/>
      <c r="J98" s="154"/>
      <c r="K98" s="154"/>
      <c r="L98" s="155"/>
      <c r="M98" s="156"/>
      <c r="N98" s="155"/>
      <c r="O98" s="155"/>
      <c r="P98" s="155"/>
      <c r="Q98" s="157"/>
      <c r="R98" s="154"/>
      <c r="S98" s="154"/>
    </row>
    <row r="99">
      <c r="A99" s="154"/>
      <c r="B99" s="154"/>
      <c r="C99" s="155"/>
      <c r="D99" s="156"/>
      <c r="E99" s="155"/>
      <c r="F99" s="155"/>
      <c r="G99" s="155"/>
      <c r="H99" s="157"/>
      <c r="I99" s="154"/>
      <c r="J99" s="154"/>
      <c r="K99" s="154"/>
      <c r="L99" s="155"/>
      <c r="M99" s="156"/>
      <c r="N99" s="155"/>
      <c r="O99" s="155"/>
      <c r="P99" s="155"/>
      <c r="Q99" s="157"/>
      <c r="R99" s="154"/>
      <c r="S99" s="154"/>
    </row>
    <row r="100">
      <c r="A100" s="154"/>
      <c r="B100" s="154"/>
      <c r="C100" s="155"/>
      <c r="D100" s="156"/>
      <c r="E100" s="155"/>
      <c r="F100" s="155"/>
      <c r="G100" s="155"/>
      <c r="H100" s="157"/>
      <c r="I100" s="154"/>
      <c r="J100" s="154"/>
      <c r="K100" s="154"/>
      <c r="L100" s="155"/>
      <c r="M100" s="156"/>
      <c r="N100" s="155"/>
      <c r="O100" s="155"/>
      <c r="P100" s="155"/>
      <c r="Q100" s="157"/>
      <c r="R100" s="154"/>
      <c r="S100" s="154"/>
    </row>
    <row r="101">
      <c r="A101" s="154"/>
      <c r="B101" s="154"/>
      <c r="C101" s="155"/>
      <c r="D101" s="156"/>
      <c r="E101" s="155"/>
      <c r="F101" s="155"/>
      <c r="G101" s="155"/>
      <c r="H101" s="157"/>
      <c r="I101" s="154"/>
      <c r="J101" s="154"/>
      <c r="K101" s="154"/>
      <c r="L101" s="155"/>
      <c r="M101" s="156"/>
      <c r="N101" s="155"/>
      <c r="O101" s="155"/>
      <c r="P101" s="155"/>
      <c r="Q101" s="157"/>
      <c r="R101" s="154"/>
      <c r="S101" s="154"/>
    </row>
    <row r="102">
      <c r="A102" s="154"/>
      <c r="B102" s="154"/>
      <c r="C102" s="155"/>
      <c r="D102" s="156"/>
      <c r="E102" s="155"/>
      <c r="F102" s="155"/>
      <c r="G102" s="155"/>
      <c r="H102" s="157"/>
      <c r="I102" s="154"/>
      <c r="J102" s="154"/>
      <c r="K102" s="154"/>
      <c r="L102" s="155"/>
      <c r="M102" s="156"/>
      <c r="N102" s="155"/>
      <c r="O102" s="155"/>
      <c r="P102" s="155"/>
      <c r="Q102" s="157"/>
      <c r="R102" s="154"/>
      <c r="S102" s="154"/>
    </row>
    <row r="103">
      <c r="A103" s="154"/>
      <c r="B103" s="154"/>
      <c r="C103" s="155"/>
      <c r="D103" s="156"/>
      <c r="E103" s="155"/>
      <c r="F103" s="155"/>
      <c r="G103" s="155"/>
      <c r="H103" s="157"/>
      <c r="I103" s="154"/>
      <c r="J103" s="154"/>
      <c r="K103" s="154"/>
      <c r="L103" s="155"/>
      <c r="M103" s="156"/>
      <c r="N103" s="155"/>
      <c r="O103" s="155"/>
      <c r="P103" s="155"/>
      <c r="Q103" s="157"/>
      <c r="R103" s="154"/>
      <c r="S103" s="154"/>
    </row>
    <row r="104">
      <c r="A104" s="154"/>
      <c r="B104" s="154"/>
      <c r="C104" s="155"/>
      <c r="D104" s="156"/>
      <c r="E104" s="155"/>
      <c r="F104" s="155"/>
      <c r="G104" s="155"/>
      <c r="H104" s="157"/>
      <c r="I104" s="154"/>
      <c r="J104" s="154"/>
      <c r="K104" s="154"/>
      <c r="L104" s="155"/>
      <c r="M104" s="156"/>
      <c r="N104" s="155"/>
      <c r="O104" s="155"/>
      <c r="P104" s="155"/>
      <c r="Q104" s="157"/>
      <c r="R104" s="154"/>
      <c r="S104" s="154"/>
    </row>
    <row r="105">
      <c r="A105" s="154"/>
      <c r="B105" s="154"/>
      <c r="C105" s="155"/>
      <c r="D105" s="156"/>
      <c r="E105" s="155"/>
      <c r="F105" s="155"/>
      <c r="G105" s="155"/>
      <c r="H105" s="157"/>
      <c r="I105" s="154"/>
      <c r="J105" s="154"/>
      <c r="K105" s="154"/>
      <c r="L105" s="155"/>
      <c r="M105" s="156"/>
      <c r="N105" s="155"/>
      <c r="O105" s="155"/>
      <c r="P105" s="155"/>
      <c r="Q105" s="157"/>
      <c r="R105" s="154"/>
      <c r="S105" s="154"/>
    </row>
    <row r="106">
      <c r="A106" s="154"/>
      <c r="B106" s="154"/>
      <c r="C106" s="155"/>
      <c r="D106" s="156"/>
      <c r="E106" s="155"/>
      <c r="F106" s="155"/>
      <c r="G106" s="155"/>
      <c r="H106" s="157"/>
      <c r="I106" s="154"/>
      <c r="J106" s="154"/>
      <c r="K106" s="154"/>
      <c r="L106" s="155"/>
      <c r="M106" s="156"/>
      <c r="N106" s="155"/>
      <c r="O106" s="155"/>
      <c r="P106" s="155"/>
      <c r="Q106" s="157"/>
      <c r="R106" s="154"/>
      <c r="S106" s="154"/>
    </row>
    <row r="107">
      <c r="A107" s="154"/>
      <c r="B107" s="154"/>
      <c r="C107" s="155"/>
      <c r="D107" s="156"/>
      <c r="E107" s="155"/>
      <c r="F107" s="155"/>
      <c r="G107" s="155"/>
      <c r="H107" s="157"/>
      <c r="I107" s="154"/>
      <c r="J107" s="154"/>
      <c r="K107" s="154"/>
      <c r="L107" s="155"/>
      <c r="M107" s="156"/>
      <c r="N107" s="155"/>
      <c r="O107" s="155"/>
      <c r="P107" s="155"/>
      <c r="Q107" s="157"/>
      <c r="R107" s="154"/>
      <c r="S107" s="154"/>
    </row>
    <row r="108">
      <c r="A108" s="154"/>
      <c r="B108" s="154"/>
      <c r="C108" s="155"/>
      <c r="D108" s="156"/>
      <c r="E108" s="155"/>
      <c r="F108" s="155"/>
      <c r="G108" s="155"/>
      <c r="H108" s="157"/>
      <c r="I108" s="154"/>
      <c r="J108" s="154"/>
      <c r="K108" s="154"/>
      <c r="L108" s="155"/>
      <c r="M108" s="156"/>
      <c r="N108" s="155"/>
      <c r="O108" s="155"/>
      <c r="P108" s="155"/>
      <c r="Q108" s="157"/>
      <c r="R108" s="154"/>
      <c r="S108" s="154"/>
    </row>
    <row r="109">
      <c r="A109" s="154"/>
      <c r="B109" s="154"/>
      <c r="C109" s="155"/>
      <c r="D109" s="156"/>
      <c r="E109" s="155"/>
      <c r="F109" s="155"/>
      <c r="G109" s="155"/>
      <c r="H109" s="157"/>
      <c r="I109" s="154"/>
      <c r="J109" s="154"/>
      <c r="K109" s="154"/>
      <c r="L109" s="155"/>
      <c r="M109" s="156"/>
      <c r="N109" s="155"/>
      <c r="O109" s="155"/>
      <c r="P109" s="155"/>
      <c r="Q109" s="157"/>
      <c r="R109" s="154"/>
      <c r="S109" s="154"/>
    </row>
    <row r="110">
      <c r="A110" s="154"/>
      <c r="B110" s="154"/>
      <c r="C110" s="155"/>
      <c r="D110" s="156"/>
      <c r="E110" s="155"/>
      <c r="F110" s="155"/>
      <c r="G110" s="155"/>
      <c r="H110" s="157"/>
      <c r="I110" s="154"/>
      <c r="J110" s="154"/>
      <c r="K110" s="154"/>
      <c r="L110" s="155"/>
      <c r="M110" s="156"/>
      <c r="N110" s="155"/>
      <c r="O110" s="155"/>
      <c r="P110" s="155"/>
      <c r="Q110" s="157"/>
      <c r="R110" s="154"/>
      <c r="S110" s="154"/>
    </row>
    <row r="111">
      <c r="A111" s="154"/>
      <c r="B111" s="154"/>
      <c r="C111" s="155"/>
      <c r="D111" s="156"/>
      <c r="E111" s="155"/>
      <c r="F111" s="155"/>
      <c r="G111" s="155"/>
      <c r="H111" s="157"/>
      <c r="I111" s="154"/>
      <c r="J111" s="154"/>
      <c r="K111" s="154"/>
      <c r="L111" s="155"/>
      <c r="M111" s="156"/>
      <c r="N111" s="155"/>
      <c r="O111" s="155"/>
      <c r="P111" s="155"/>
      <c r="Q111" s="157"/>
      <c r="R111" s="154"/>
      <c r="S111" s="154"/>
    </row>
    <row r="112">
      <c r="A112" s="154"/>
      <c r="B112" s="154"/>
      <c r="C112" s="155"/>
      <c r="D112" s="156"/>
      <c r="E112" s="155"/>
      <c r="F112" s="155"/>
      <c r="G112" s="155"/>
      <c r="H112" s="157"/>
      <c r="I112" s="154"/>
      <c r="J112" s="154"/>
      <c r="K112" s="154"/>
      <c r="L112" s="155"/>
      <c r="M112" s="156"/>
      <c r="N112" s="155"/>
      <c r="O112" s="155"/>
      <c r="P112" s="155"/>
      <c r="Q112" s="157"/>
      <c r="R112" s="154"/>
      <c r="S112" s="154"/>
    </row>
    <row r="113">
      <c r="A113" s="154"/>
      <c r="B113" s="154"/>
      <c r="C113" s="155"/>
      <c r="D113" s="156"/>
      <c r="E113" s="155"/>
      <c r="F113" s="155"/>
      <c r="G113" s="155"/>
      <c r="H113" s="157"/>
      <c r="I113" s="154"/>
      <c r="J113" s="154"/>
      <c r="K113" s="154"/>
      <c r="L113" s="155"/>
      <c r="M113" s="156"/>
      <c r="N113" s="155"/>
      <c r="O113" s="155"/>
      <c r="P113" s="155"/>
      <c r="Q113" s="157"/>
      <c r="R113" s="154"/>
      <c r="S113" s="154"/>
    </row>
    <row r="114">
      <c r="A114" s="154"/>
      <c r="B114" s="154"/>
      <c r="C114" s="155"/>
      <c r="D114" s="156"/>
      <c r="E114" s="155"/>
      <c r="F114" s="155"/>
      <c r="G114" s="155"/>
      <c r="H114" s="157"/>
      <c r="I114" s="154"/>
      <c r="J114" s="154"/>
      <c r="K114" s="154"/>
      <c r="L114" s="155"/>
      <c r="M114" s="156"/>
      <c r="N114" s="155"/>
      <c r="O114" s="155"/>
      <c r="P114" s="155"/>
      <c r="Q114" s="157"/>
      <c r="R114" s="154"/>
      <c r="S114" s="154"/>
    </row>
    <row r="115">
      <c r="A115" s="154"/>
      <c r="B115" s="154"/>
      <c r="C115" s="155"/>
      <c r="D115" s="156"/>
      <c r="E115" s="155"/>
      <c r="F115" s="155"/>
      <c r="G115" s="155"/>
      <c r="H115" s="157"/>
      <c r="I115" s="154"/>
      <c r="J115" s="154"/>
      <c r="K115" s="154"/>
      <c r="L115" s="155"/>
      <c r="M115" s="156"/>
      <c r="N115" s="155"/>
      <c r="O115" s="155"/>
      <c r="P115" s="155"/>
      <c r="Q115" s="157"/>
      <c r="R115" s="154"/>
      <c r="S115" s="154"/>
    </row>
    <row r="116">
      <c r="A116" s="154"/>
      <c r="B116" s="154"/>
      <c r="C116" s="155"/>
      <c r="D116" s="156"/>
      <c r="E116" s="155"/>
      <c r="F116" s="155"/>
      <c r="G116" s="155"/>
      <c r="H116" s="157"/>
      <c r="I116" s="154"/>
      <c r="J116" s="154"/>
      <c r="K116" s="154"/>
      <c r="L116" s="155"/>
      <c r="M116" s="156"/>
      <c r="N116" s="155"/>
      <c r="O116" s="155"/>
      <c r="P116" s="155"/>
      <c r="Q116" s="157"/>
      <c r="R116" s="154"/>
      <c r="S116" s="154"/>
    </row>
    <row r="117">
      <c r="A117" s="154"/>
      <c r="B117" s="154"/>
      <c r="C117" s="155"/>
      <c r="D117" s="156"/>
      <c r="E117" s="155"/>
      <c r="F117" s="155"/>
      <c r="G117" s="155"/>
      <c r="H117" s="157"/>
      <c r="I117" s="154"/>
      <c r="J117" s="154"/>
      <c r="K117" s="154"/>
      <c r="L117" s="155"/>
      <c r="M117" s="156"/>
      <c r="N117" s="155"/>
      <c r="O117" s="155"/>
      <c r="P117" s="155"/>
      <c r="Q117" s="157"/>
      <c r="R117" s="154"/>
      <c r="S117" s="154"/>
    </row>
    <row r="118">
      <c r="A118" s="154"/>
      <c r="B118" s="154"/>
      <c r="C118" s="155"/>
      <c r="D118" s="156"/>
      <c r="E118" s="155"/>
      <c r="F118" s="155"/>
      <c r="G118" s="155"/>
      <c r="H118" s="157"/>
      <c r="I118" s="154"/>
      <c r="J118" s="154"/>
      <c r="K118" s="154"/>
      <c r="L118" s="155"/>
      <c r="M118" s="156"/>
      <c r="N118" s="155"/>
      <c r="O118" s="155"/>
      <c r="P118" s="155"/>
      <c r="Q118" s="157"/>
      <c r="R118" s="154"/>
      <c r="S118" s="154"/>
    </row>
    <row r="119">
      <c r="A119" s="154"/>
      <c r="B119" s="154"/>
      <c r="C119" s="155"/>
      <c r="D119" s="156"/>
      <c r="E119" s="155"/>
      <c r="F119" s="155"/>
      <c r="G119" s="155"/>
      <c r="H119" s="157"/>
      <c r="I119" s="154"/>
      <c r="J119" s="154"/>
      <c r="K119" s="154"/>
      <c r="L119" s="155"/>
      <c r="M119" s="156"/>
      <c r="N119" s="155"/>
      <c r="O119" s="155"/>
      <c r="P119" s="155"/>
      <c r="Q119" s="157"/>
      <c r="R119" s="154"/>
      <c r="S119" s="154"/>
    </row>
    <row r="120">
      <c r="A120" s="154"/>
      <c r="B120" s="154"/>
      <c r="C120" s="155"/>
      <c r="D120" s="156"/>
      <c r="E120" s="155"/>
      <c r="F120" s="155"/>
      <c r="G120" s="155"/>
      <c r="H120" s="157"/>
      <c r="I120" s="154"/>
      <c r="J120" s="154"/>
      <c r="K120" s="154"/>
      <c r="L120" s="155"/>
      <c r="M120" s="156"/>
      <c r="N120" s="155"/>
      <c r="O120" s="155"/>
      <c r="P120" s="155"/>
      <c r="Q120" s="157"/>
      <c r="R120" s="154"/>
      <c r="S120" s="154"/>
    </row>
    <row r="121">
      <c r="A121" s="154"/>
      <c r="B121" s="154"/>
      <c r="C121" s="155"/>
      <c r="D121" s="156"/>
      <c r="E121" s="155"/>
      <c r="F121" s="155"/>
      <c r="G121" s="155"/>
      <c r="H121" s="157"/>
      <c r="I121" s="154"/>
      <c r="J121" s="154"/>
      <c r="K121" s="154"/>
      <c r="L121" s="155"/>
      <c r="M121" s="156"/>
      <c r="N121" s="155"/>
      <c r="O121" s="155"/>
      <c r="P121" s="155"/>
      <c r="Q121" s="157"/>
      <c r="R121" s="154"/>
      <c r="S121" s="154"/>
    </row>
    <row r="122">
      <c r="A122" s="154"/>
      <c r="B122" s="154"/>
      <c r="C122" s="155"/>
      <c r="D122" s="156"/>
      <c r="E122" s="155"/>
      <c r="F122" s="155"/>
      <c r="G122" s="155"/>
      <c r="H122" s="157"/>
      <c r="I122" s="154"/>
      <c r="J122" s="154"/>
      <c r="K122" s="154"/>
      <c r="L122" s="155"/>
      <c r="M122" s="156"/>
      <c r="N122" s="155"/>
      <c r="O122" s="155"/>
      <c r="P122" s="155"/>
      <c r="Q122" s="157"/>
      <c r="R122" s="154"/>
      <c r="S122" s="154"/>
    </row>
    <row r="123">
      <c r="A123" s="154"/>
      <c r="B123" s="154"/>
      <c r="C123" s="155"/>
      <c r="D123" s="156"/>
      <c r="E123" s="155"/>
      <c r="F123" s="155"/>
      <c r="G123" s="155"/>
      <c r="H123" s="157"/>
      <c r="I123" s="154"/>
      <c r="J123" s="154"/>
      <c r="K123" s="154"/>
      <c r="L123" s="155"/>
      <c r="M123" s="156"/>
      <c r="N123" s="155"/>
      <c r="O123" s="155"/>
      <c r="P123" s="155"/>
      <c r="Q123" s="157"/>
      <c r="R123" s="154"/>
      <c r="S123" s="154"/>
    </row>
    <row r="124">
      <c r="A124" s="154"/>
      <c r="B124" s="154"/>
      <c r="C124" s="155"/>
      <c r="D124" s="156"/>
      <c r="E124" s="155"/>
      <c r="F124" s="155"/>
      <c r="G124" s="155"/>
      <c r="H124" s="157"/>
      <c r="I124" s="154"/>
      <c r="J124" s="154"/>
      <c r="K124" s="154"/>
      <c r="L124" s="155"/>
      <c r="M124" s="156"/>
      <c r="N124" s="155"/>
      <c r="O124" s="155"/>
      <c r="P124" s="155"/>
      <c r="Q124" s="157"/>
      <c r="R124" s="154"/>
      <c r="S124" s="154"/>
    </row>
    <row r="125">
      <c r="A125" s="154"/>
      <c r="B125" s="154"/>
      <c r="C125" s="155"/>
      <c r="D125" s="156"/>
      <c r="E125" s="155"/>
      <c r="F125" s="155"/>
      <c r="G125" s="155"/>
      <c r="H125" s="157"/>
      <c r="I125" s="154"/>
      <c r="J125" s="154"/>
      <c r="K125" s="154"/>
      <c r="L125" s="155"/>
      <c r="M125" s="156"/>
      <c r="N125" s="155"/>
      <c r="O125" s="155"/>
      <c r="P125" s="155"/>
      <c r="Q125" s="157"/>
      <c r="R125" s="154"/>
      <c r="S125" s="154"/>
    </row>
    <row r="126">
      <c r="A126" s="154"/>
      <c r="B126" s="154"/>
      <c r="C126" s="155"/>
      <c r="D126" s="156"/>
      <c r="E126" s="155"/>
      <c r="F126" s="155"/>
      <c r="G126" s="155"/>
      <c r="H126" s="157"/>
      <c r="I126" s="154"/>
      <c r="J126" s="154"/>
      <c r="K126" s="154"/>
      <c r="L126" s="155"/>
      <c r="M126" s="156"/>
      <c r="N126" s="155"/>
      <c r="O126" s="155"/>
      <c r="P126" s="155"/>
      <c r="Q126" s="157"/>
      <c r="R126" s="154"/>
      <c r="S126" s="154"/>
    </row>
    <row r="127">
      <c r="A127" s="154"/>
      <c r="B127" s="154"/>
      <c r="C127" s="155"/>
      <c r="D127" s="156"/>
      <c r="E127" s="155"/>
      <c r="F127" s="155"/>
      <c r="G127" s="155"/>
      <c r="H127" s="157"/>
      <c r="I127" s="154"/>
      <c r="J127" s="154"/>
      <c r="K127" s="154"/>
      <c r="L127" s="155"/>
      <c r="M127" s="156"/>
      <c r="N127" s="155"/>
      <c r="O127" s="155"/>
      <c r="P127" s="155"/>
      <c r="Q127" s="157"/>
      <c r="R127" s="154"/>
      <c r="S127" s="154"/>
    </row>
    <row r="128">
      <c r="A128" s="154"/>
      <c r="B128" s="154"/>
      <c r="C128" s="155"/>
      <c r="D128" s="156"/>
      <c r="E128" s="155"/>
      <c r="F128" s="155"/>
      <c r="G128" s="155"/>
      <c r="H128" s="157"/>
      <c r="I128" s="154"/>
      <c r="J128" s="154"/>
      <c r="K128" s="154"/>
      <c r="L128" s="155"/>
      <c r="M128" s="156"/>
      <c r="N128" s="155"/>
      <c r="O128" s="155"/>
      <c r="P128" s="155"/>
      <c r="Q128" s="157"/>
      <c r="R128" s="154"/>
      <c r="S128" s="154"/>
    </row>
    <row r="129">
      <c r="A129" s="154"/>
      <c r="B129" s="154"/>
      <c r="C129" s="155"/>
      <c r="D129" s="156"/>
      <c r="E129" s="155"/>
      <c r="F129" s="155"/>
      <c r="G129" s="155"/>
      <c r="H129" s="157"/>
      <c r="I129" s="154"/>
      <c r="J129" s="154"/>
      <c r="K129" s="154"/>
      <c r="L129" s="155"/>
      <c r="M129" s="156"/>
      <c r="N129" s="155"/>
      <c r="O129" s="155"/>
      <c r="P129" s="155"/>
      <c r="Q129" s="157"/>
      <c r="R129" s="154"/>
      <c r="S129" s="154"/>
    </row>
    <row r="130">
      <c r="A130" s="154"/>
      <c r="B130" s="154"/>
      <c r="C130" s="155"/>
      <c r="D130" s="156"/>
      <c r="E130" s="155"/>
      <c r="F130" s="155"/>
      <c r="G130" s="155"/>
      <c r="H130" s="157"/>
      <c r="I130" s="154"/>
      <c r="J130" s="154"/>
      <c r="K130" s="154"/>
      <c r="L130" s="155"/>
      <c r="M130" s="156"/>
      <c r="N130" s="155"/>
      <c r="O130" s="155"/>
      <c r="P130" s="155"/>
      <c r="Q130" s="157"/>
      <c r="R130" s="154"/>
      <c r="S130" s="154"/>
    </row>
    <row r="131">
      <c r="A131" s="154"/>
      <c r="B131" s="154"/>
      <c r="C131" s="155"/>
      <c r="D131" s="156"/>
      <c r="E131" s="155"/>
      <c r="F131" s="155"/>
      <c r="G131" s="155"/>
      <c r="H131" s="157"/>
      <c r="I131" s="154"/>
      <c r="J131" s="154"/>
      <c r="K131" s="154"/>
      <c r="L131" s="155"/>
      <c r="M131" s="156"/>
      <c r="N131" s="155"/>
      <c r="O131" s="155"/>
      <c r="P131" s="155"/>
      <c r="Q131" s="157"/>
      <c r="R131" s="154"/>
      <c r="S131" s="154"/>
    </row>
    <row r="132">
      <c r="A132" s="154"/>
      <c r="B132" s="154"/>
      <c r="C132" s="155"/>
      <c r="D132" s="156"/>
      <c r="E132" s="155"/>
      <c r="F132" s="155"/>
      <c r="G132" s="155"/>
      <c r="H132" s="157"/>
      <c r="I132" s="154"/>
      <c r="J132" s="154"/>
      <c r="K132" s="154"/>
      <c r="L132" s="155"/>
      <c r="M132" s="156"/>
      <c r="N132" s="155"/>
      <c r="O132" s="155"/>
      <c r="P132" s="155"/>
      <c r="Q132" s="157"/>
      <c r="R132" s="154"/>
      <c r="S132" s="154"/>
    </row>
    <row r="133">
      <c r="A133" s="154"/>
      <c r="B133" s="154"/>
      <c r="C133" s="155"/>
      <c r="D133" s="156"/>
      <c r="E133" s="155"/>
      <c r="F133" s="155"/>
      <c r="G133" s="155"/>
      <c r="H133" s="157"/>
      <c r="I133" s="154"/>
      <c r="J133" s="154"/>
      <c r="K133" s="154"/>
      <c r="L133" s="155"/>
      <c r="M133" s="156"/>
      <c r="N133" s="155"/>
      <c r="O133" s="155"/>
      <c r="P133" s="155"/>
      <c r="Q133" s="157"/>
      <c r="R133" s="154"/>
      <c r="S133" s="154"/>
    </row>
    <row r="134">
      <c r="A134" s="154"/>
      <c r="B134" s="154"/>
      <c r="C134" s="155"/>
      <c r="D134" s="156"/>
      <c r="E134" s="155"/>
      <c r="F134" s="155"/>
      <c r="G134" s="155"/>
      <c r="H134" s="157"/>
      <c r="I134" s="154"/>
      <c r="J134" s="154"/>
      <c r="K134" s="154"/>
      <c r="L134" s="155"/>
      <c r="M134" s="156"/>
      <c r="N134" s="155"/>
      <c r="O134" s="155"/>
      <c r="P134" s="155"/>
      <c r="Q134" s="157"/>
      <c r="R134" s="154"/>
      <c r="S134" s="154"/>
    </row>
    <row r="135">
      <c r="A135" s="154"/>
      <c r="B135" s="154"/>
      <c r="C135" s="155"/>
      <c r="D135" s="156"/>
      <c r="E135" s="155"/>
      <c r="F135" s="155"/>
      <c r="G135" s="155"/>
      <c r="H135" s="157"/>
      <c r="I135" s="154"/>
      <c r="J135" s="154"/>
      <c r="K135" s="154"/>
      <c r="L135" s="155"/>
      <c r="M135" s="156"/>
      <c r="N135" s="155"/>
      <c r="O135" s="155"/>
      <c r="P135" s="155"/>
      <c r="Q135" s="157"/>
      <c r="R135" s="154"/>
      <c r="S135" s="154"/>
    </row>
    <row r="136">
      <c r="A136" s="154"/>
      <c r="B136" s="154"/>
      <c r="C136" s="155"/>
      <c r="D136" s="156"/>
      <c r="E136" s="155"/>
      <c r="F136" s="155"/>
      <c r="G136" s="155"/>
      <c r="H136" s="157"/>
      <c r="I136" s="154"/>
      <c r="J136" s="154"/>
      <c r="K136" s="154"/>
      <c r="L136" s="155"/>
      <c r="M136" s="156"/>
      <c r="N136" s="155"/>
      <c r="O136" s="155"/>
      <c r="P136" s="155"/>
      <c r="Q136" s="157"/>
      <c r="R136" s="154"/>
      <c r="S136" s="154"/>
    </row>
    <row r="137">
      <c r="A137" s="154"/>
      <c r="B137" s="154"/>
      <c r="C137" s="155"/>
      <c r="D137" s="156"/>
      <c r="E137" s="155"/>
      <c r="F137" s="155"/>
      <c r="G137" s="155"/>
      <c r="H137" s="157"/>
      <c r="I137" s="154"/>
      <c r="J137" s="154"/>
      <c r="K137" s="154"/>
      <c r="L137" s="155"/>
      <c r="M137" s="156"/>
      <c r="N137" s="155"/>
      <c r="O137" s="155"/>
      <c r="P137" s="155"/>
      <c r="Q137" s="157"/>
      <c r="R137" s="154"/>
      <c r="S137" s="154"/>
    </row>
    <row r="138">
      <c r="A138" s="154"/>
      <c r="B138" s="154"/>
      <c r="C138" s="155"/>
      <c r="D138" s="156"/>
      <c r="E138" s="155"/>
      <c r="F138" s="155"/>
      <c r="G138" s="155"/>
      <c r="H138" s="157"/>
      <c r="I138" s="154"/>
      <c r="J138" s="154"/>
      <c r="K138" s="154"/>
      <c r="L138" s="155"/>
      <c r="M138" s="156"/>
      <c r="N138" s="155"/>
      <c r="O138" s="155"/>
      <c r="P138" s="155"/>
      <c r="Q138" s="157"/>
      <c r="R138" s="154"/>
      <c r="S138" s="154"/>
    </row>
    <row r="139">
      <c r="A139" s="154"/>
      <c r="B139" s="154"/>
      <c r="C139" s="155"/>
      <c r="D139" s="156"/>
      <c r="E139" s="155"/>
      <c r="F139" s="155"/>
      <c r="G139" s="155"/>
      <c r="H139" s="157"/>
      <c r="I139" s="154"/>
      <c r="J139" s="154"/>
      <c r="K139" s="154"/>
      <c r="L139" s="155"/>
      <c r="M139" s="156"/>
      <c r="N139" s="155"/>
      <c r="O139" s="155"/>
      <c r="P139" s="155"/>
      <c r="Q139" s="157"/>
      <c r="R139" s="154"/>
      <c r="S139" s="154"/>
    </row>
    <row r="140">
      <c r="A140" s="154"/>
      <c r="B140" s="154"/>
      <c r="C140" s="155"/>
      <c r="D140" s="156"/>
      <c r="E140" s="155"/>
      <c r="F140" s="155"/>
      <c r="G140" s="155"/>
      <c r="H140" s="157"/>
      <c r="I140" s="154"/>
      <c r="J140" s="154"/>
      <c r="K140" s="154"/>
      <c r="L140" s="155"/>
      <c r="M140" s="156"/>
      <c r="N140" s="155"/>
      <c r="O140" s="155"/>
      <c r="P140" s="155"/>
      <c r="Q140" s="157"/>
      <c r="R140" s="154"/>
      <c r="S140" s="154"/>
    </row>
    <row r="141">
      <c r="A141" s="154"/>
      <c r="B141" s="154"/>
      <c r="C141" s="155"/>
      <c r="D141" s="156"/>
      <c r="E141" s="155"/>
      <c r="F141" s="155"/>
      <c r="G141" s="155"/>
      <c r="H141" s="157"/>
      <c r="I141" s="154"/>
      <c r="J141" s="154"/>
      <c r="K141" s="154"/>
      <c r="L141" s="155"/>
      <c r="M141" s="156"/>
      <c r="N141" s="155"/>
      <c r="O141" s="155"/>
      <c r="P141" s="155"/>
      <c r="Q141" s="157"/>
      <c r="R141" s="154"/>
      <c r="S141" s="154"/>
    </row>
    <row r="142">
      <c r="A142" s="154"/>
      <c r="B142" s="154"/>
      <c r="C142" s="155"/>
      <c r="D142" s="156"/>
      <c r="E142" s="155"/>
      <c r="F142" s="155"/>
      <c r="G142" s="155"/>
      <c r="H142" s="157"/>
      <c r="I142" s="154"/>
      <c r="J142" s="154"/>
      <c r="K142" s="154"/>
      <c r="L142" s="155"/>
      <c r="M142" s="156"/>
      <c r="N142" s="155"/>
      <c r="O142" s="155"/>
      <c r="P142" s="155"/>
      <c r="Q142" s="157"/>
      <c r="R142" s="154"/>
      <c r="S142" s="154"/>
    </row>
    <row r="143">
      <c r="A143" s="154"/>
      <c r="B143" s="154"/>
      <c r="C143" s="155"/>
      <c r="D143" s="156"/>
      <c r="E143" s="155"/>
      <c r="F143" s="155"/>
      <c r="G143" s="155"/>
      <c r="H143" s="157"/>
      <c r="I143" s="154"/>
      <c r="J143" s="154"/>
      <c r="K143" s="154"/>
      <c r="L143" s="155"/>
      <c r="M143" s="156"/>
      <c r="N143" s="155"/>
      <c r="O143" s="155"/>
      <c r="P143" s="155"/>
      <c r="Q143" s="157"/>
      <c r="R143" s="154"/>
      <c r="S143" s="154"/>
    </row>
    <row r="144">
      <c r="A144" s="154"/>
      <c r="B144" s="154"/>
      <c r="C144" s="155"/>
      <c r="D144" s="156"/>
      <c r="E144" s="155"/>
      <c r="F144" s="155"/>
      <c r="G144" s="155"/>
      <c r="H144" s="157"/>
      <c r="I144" s="154"/>
      <c r="J144" s="154"/>
      <c r="K144" s="154"/>
      <c r="L144" s="155"/>
      <c r="M144" s="156"/>
      <c r="N144" s="155"/>
      <c r="O144" s="155"/>
      <c r="P144" s="155"/>
      <c r="Q144" s="157"/>
      <c r="R144" s="154"/>
      <c r="S144" s="154"/>
    </row>
    <row r="145">
      <c r="A145" s="154"/>
      <c r="B145" s="154"/>
      <c r="C145" s="155"/>
      <c r="D145" s="156"/>
      <c r="E145" s="155"/>
      <c r="F145" s="155"/>
      <c r="G145" s="155"/>
      <c r="H145" s="157"/>
      <c r="I145" s="154"/>
      <c r="J145" s="154"/>
      <c r="K145" s="154"/>
      <c r="L145" s="155"/>
      <c r="M145" s="156"/>
      <c r="N145" s="155"/>
      <c r="O145" s="155"/>
      <c r="P145" s="155"/>
      <c r="Q145" s="157"/>
      <c r="R145" s="154"/>
      <c r="S145" s="154"/>
    </row>
    <row r="146">
      <c r="A146" s="154"/>
      <c r="B146" s="154"/>
      <c r="C146" s="155"/>
      <c r="D146" s="156"/>
      <c r="E146" s="155"/>
      <c r="F146" s="155"/>
      <c r="G146" s="155"/>
      <c r="H146" s="157"/>
      <c r="I146" s="154"/>
      <c r="J146" s="154"/>
      <c r="K146" s="154"/>
      <c r="L146" s="155"/>
      <c r="M146" s="156"/>
      <c r="N146" s="155"/>
      <c r="O146" s="155"/>
      <c r="P146" s="155"/>
      <c r="Q146" s="157"/>
      <c r="R146" s="154"/>
      <c r="S146" s="154"/>
    </row>
    <row r="147">
      <c r="A147" s="154"/>
      <c r="B147" s="154"/>
      <c r="C147" s="155"/>
      <c r="D147" s="156"/>
      <c r="E147" s="155"/>
      <c r="F147" s="155"/>
      <c r="G147" s="155"/>
      <c r="H147" s="157"/>
      <c r="I147" s="154"/>
      <c r="J147" s="154"/>
      <c r="K147" s="154"/>
      <c r="L147" s="155"/>
      <c r="M147" s="156"/>
      <c r="N147" s="155"/>
      <c r="O147" s="155"/>
      <c r="P147" s="155"/>
      <c r="Q147" s="157"/>
      <c r="R147" s="154"/>
      <c r="S147" s="154"/>
    </row>
    <row r="148">
      <c r="A148" s="154"/>
      <c r="B148" s="154"/>
      <c r="C148" s="155"/>
      <c r="D148" s="156"/>
      <c r="E148" s="155"/>
      <c r="F148" s="155"/>
      <c r="G148" s="155"/>
      <c r="H148" s="157"/>
      <c r="I148" s="154"/>
      <c r="J148" s="154"/>
      <c r="K148" s="154"/>
      <c r="L148" s="155"/>
      <c r="M148" s="156"/>
      <c r="N148" s="155"/>
      <c r="O148" s="155"/>
      <c r="P148" s="155"/>
      <c r="Q148" s="157"/>
      <c r="R148" s="154"/>
      <c r="S148" s="154"/>
    </row>
    <row r="149">
      <c r="A149" s="154"/>
      <c r="B149" s="154"/>
      <c r="C149" s="155"/>
      <c r="D149" s="156"/>
      <c r="E149" s="155"/>
      <c r="F149" s="155"/>
      <c r="G149" s="155"/>
      <c r="H149" s="157"/>
      <c r="I149" s="154"/>
      <c r="J149" s="154"/>
      <c r="K149" s="154"/>
      <c r="L149" s="155"/>
      <c r="M149" s="156"/>
      <c r="N149" s="155"/>
      <c r="O149" s="155"/>
      <c r="P149" s="155"/>
      <c r="Q149" s="157"/>
      <c r="R149" s="154"/>
      <c r="S149" s="154"/>
    </row>
    <row r="150">
      <c r="A150" s="154"/>
      <c r="B150" s="154"/>
      <c r="C150" s="155"/>
      <c r="D150" s="156"/>
      <c r="E150" s="155"/>
      <c r="F150" s="155"/>
      <c r="G150" s="155"/>
      <c r="H150" s="157"/>
      <c r="I150" s="154"/>
      <c r="J150" s="154"/>
      <c r="K150" s="154"/>
      <c r="L150" s="155"/>
      <c r="M150" s="156"/>
      <c r="N150" s="155"/>
      <c r="O150" s="155"/>
      <c r="P150" s="155"/>
      <c r="Q150" s="157"/>
      <c r="R150" s="154"/>
      <c r="S150" s="154"/>
    </row>
    <row r="151">
      <c r="A151" s="154"/>
      <c r="B151" s="154"/>
      <c r="C151" s="155"/>
      <c r="D151" s="156"/>
      <c r="E151" s="155"/>
      <c r="F151" s="155"/>
      <c r="G151" s="155"/>
      <c r="H151" s="157"/>
      <c r="I151" s="154"/>
      <c r="J151" s="154"/>
      <c r="K151" s="154"/>
      <c r="L151" s="155"/>
      <c r="M151" s="156"/>
      <c r="N151" s="155"/>
      <c r="O151" s="155"/>
      <c r="P151" s="155"/>
      <c r="Q151" s="157"/>
      <c r="R151" s="154"/>
      <c r="S151" s="154"/>
    </row>
    <row r="152">
      <c r="A152" s="154"/>
      <c r="B152" s="154"/>
      <c r="C152" s="155"/>
      <c r="D152" s="156"/>
      <c r="E152" s="155"/>
      <c r="F152" s="155"/>
      <c r="G152" s="155"/>
      <c r="H152" s="157"/>
      <c r="I152" s="154"/>
      <c r="J152" s="154"/>
      <c r="K152" s="154"/>
      <c r="L152" s="155"/>
      <c r="M152" s="156"/>
      <c r="N152" s="155"/>
      <c r="O152" s="155"/>
      <c r="P152" s="155"/>
      <c r="Q152" s="157"/>
      <c r="R152" s="154"/>
      <c r="S152" s="154"/>
    </row>
    <row r="153">
      <c r="A153" s="154"/>
      <c r="B153" s="154"/>
      <c r="C153" s="155"/>
      <c r="D153" s="156"/>
      <c r="E153" s="155"/>
      <c r="F153" s="155"/>
      <c r="G153" s="155"/>
      <c r="H153" s="157"/>
      <c r="I153" s="154"/>
      <c r="J153" s="154"/>
      <c r="K153" s="154"/>
      <c r="L153" s="155"/>
      <c r="M153" s="156"/>
      <c r="N153" s="155"/>
      <c r="O153" s="155"/>
      <c r="P153" s="155"/>
      <c r="Q153" s="157"/>
      <c r="R153" s="154"/>
      <c r="S153" s="154"/>
    </row>
    <row r="154">
      <c r="A154" s="154"/>
      <c r="B154" s="154"/>
      <c r="C154" s="155"/>
      <c r="D154" s="156"/>
      <c r="E154" s="155"/>
      <c r="F154" s="155"/>
      <c r="G154" s="155"/>
      <c r="H154" s="157"/>
      <c r="I154" s="154"/>
      <c r="J154" s="154"/>
      <c r="K154" s="154"/>
      <c r="L154" s="155"/>
      <c r="M154" s="156"/>
      <c r="N154" s="155"/>
      <c r="O154" s="155"/>
      <c r="P154" s="155"/>
      <c r="Q154" s="157"/>
      <c r="R154" s="154"/>
      <c r="S154" s="154"/>
    </row>
    <row r="155">
      <c r="A155" s="154"/>
      <c r="B155" s="154"/>
      <c r="C155" s="155"/>
      <c r="D155" s="156"/>
      <c r="E155" s="155"/>
      <c r="F155" s="155"/>
      <c r="G155" s="155"/>
      <c r="H155" s="157"/>
      <c r="I155" s="154"/>
      <c r="J155" s="154"/>
      <c r="K155" s="154"/>
      <c r="L155" s="155"/>
      <c r="M155" s="156"/>
      <c r="N155" s="155"/>
      <c r="O155" s="155"/>
      <c r="P155" s="155"/>
      <c r="Q155" s="157"/>
      <c r="R155" s="154"/>
      <c r="S155" s="154"/>
    </row>
    <row r="156">
      <c r="A156" s="154"/>
      <c r="B156" s="154"/>
      <c r="C156" s="155"/>
      <c r="D156" s="156"/>
      <c r="E156" s="155"/>
      <c r="F156" s="155"/>
      <c r="G156" s="155"/>
      <c r="H156" s="157"/>
      <c r="I156" s="154"/>
      <c r="J156" s="154"/>
      <c r="K156" s="154"/>
      <c r="L156" s="155"/>
      <c r="M156" s="156"/>
      <c r="N156" s="155"/>
      <c r="O156" s="155"/>
      <c r="P156" s="155"/>
      <c r="Q156" s="157"/>
      <c r="R156" s="154"/>
      <c r="S156" s="154"/>
    </row>
    <row r="157">
      <c r="A157" s="154"/>
      <c r="B157" s="154"/>
      <c r="C157" s="155"/>
      <c r="D157" s="156"/>
      <c r="E157" s="155"/>
      <c r="F157" s="155"/>
      <c r="G157" s="155"/>
      <c r="H157" s="157"/>
      <c r="I157" s="154"/>
      <c r="J157" s="154"/>
      <c r="K157" s="154"/>
      <c r="L157" s="155"/>
      <c r="M157" s="156"/>
      <c r="N157" s="155"/>
      <c r="O157" s="155"/>
      <c r="P157" s="155"/>
      <c r="Q157" s="157"/>
      <c r="R157" s="154"/>
      <c r="S157" s="154"/>
    </row>
    <row r="158">
      <c r="A158" s="154"/>
      <c r="B158" s="154"/>
      <c r="C158" s="155"/>
      <c r="D158" s="156"/>
      <c r="E158" s="155"/>
      <c r="F158" s="155"/>
      <c r="G158" s="155"/>
      <c r="H158" s="157"/>
      <c r="I158" s="154"/>
      <c r="J158" s="154"/>
      <c r="K158" s="154"/>
      <c r="L158" s="155"/>
      <c r="M158" s="156"/>
      <c r="N158" s="155"/>
      <c r="O158" s="155"/>
      <c r="P158" s="155"/>
      <c r="Q158" s="157"/>
      <c r="R158" s="154"/>
      <c r="S158" s="154"/>
    </row>
    <row r="159">
      <c r="A159" s="154"/>
      <c r="B159" s="154"/>
      <c r="C159" s="155"/>
      <c r="D159" s="156"/>
      <c r="E159" s="155"/>
      <c r="F159" s="155"/>
      <c r="G159" s="155"/>
      <c r="H159" s="157"/>
      <c r="I159" s="154"/>
      <c r="J159" s="154"/>
      <c r="K159" s="154"/>
      <c r="L159" s="155"/>
      <c r="M159" s="156"/>
      <c r="N159" s="155"/>
      <c r="O159" s="155"/>
      <c r="P159" s="155"/>
      <c r="Q159" s="157"/>
      <c r="R159" s="154"/>
      <c r="S159" s="154"/>
    </row>
    <row r="160">
      <c r="A160" s="154"/>
      <c r="B160" s="154"/>
      <c r="C160" s="155"/>
      <c r="D160" s="156"/>
      <c r="E160" s="155"/>
      <c r="F160" s="155"/>
      <c r="G160" s="155"/>
      <c r="H160" s="157"/>
      <c r="I160" s="154"/>
      <c r="J160" s="154"/>
      <c r="K160" s="154"/>
      <c r="L160" s="155"/>
      <c r="M160" s="156"/>
      <c r="N160" s="155"/>
      <c r="O160" s="155"/>
      <c r="P160" s="155"/>
      <c r="Q160" s="157"/>
      <c r="R160" s="154"/>
      <c r="S160" s="154"/>
    </row>
    <row r="161">
      <c r="A161" s="154"/>
      <c r="B161" s="154"/>
      <c r="C161" s="155"/>
      <c r="D161" s="156"/>
      <c r="E161" s="155"/>
      <c r="F161" s="155"/>
      <c r="G161" s="155"/>
      <c r="H161" s="157"/>
      <c r="I161" s="154"/>
      <c r="J161" s="154"/>
      <c r="K161" s="154"/>
      <c r="L161" s="155"/>
      <c r="M161" s="156"/>
      <c r="N161" s="155"/>
      <c r="O161" s="155"/>
      <c r="P161" s="155"/>
      <c r="Q161" s="157"/>
      <c r="R161" s="154"/>
      <c r="S161" s="154"/>
    </row>
    <row r="162">
      <c r="A162" s="154"/>
      <c r="B162" s="154"/>
      <c r="C162" s="155"/>
      <c r="D162" s="156"/>
      <c r="E162" s="155"/>
      <c r="F162" s="155"/>
      <c r="G162" s="155"/>
      <c r="H162" s="157"/>
      <c r="I162" s="154"/>
      <c r="J162" s="154"/>
      <c r="K162" s="154"/>
      <c r="L162" s="155"/>
      <c r="M162" s="156"/>
      <c r="N162" s="155"/>
      <c r="O162" s="155"/>
      <c r="P162" s="155"/>
      <c r="Q162" s="157"/>
      <c r="R162" s="154"/>
      <c r="S162" s="154"/>
    </row>
    <row r="163">
      <c r="A163" s="154"/>
      <c r="B163" s="154"/>
      <c r="C163" s="155"/>
      <c r="D163" s="156"/>
      <c r="E163" s="155"/>
      <c r="F163" s="155"/>
      <c r="G163" s="155"/>
      <c r="H163" s="157"/>
      <c r="I163" s="154"/>
      <c r="J163" s="154"/>
      <c r="K163" s="154"/>
      <c r="L163" s="155"/>
      <c r="M163" s="156"/>
      <c r="N163" s="155"/>
      <c r="O163" s="155"/>
      <c r="P163" s="155"/>
      <c r="Q163" s="157"/>
      <c r="R163" s="154"/>
      <c r="S163" s="154"/>
    </row>
    <row r="164">
      <c r="A164" s="154"/>
      <c r="B164" s="154"/>
      <c r="C164" s="155"/>
      <c r="D164" s="156"/>
      <c r="E164" s="155"/>
      <c r="F164" s="155"/>
      <c r="G164" s="155"/>
      <c r="H164" s="157"/>
      <c r="I164" s="154"/>
      <c r="J164" s="154"/>
      <c r="K164" s="154"/>
      <c r="L164" s="155"/>
      <c r="M164" s="156"/>
      <c r="N164" s="155"/>
      <c r="O164" s="155"/>
      <c r="P164" s="155"/>
      <c r="Q164" s="157"/>
      <c r="R164" s="154"/>
      <c r="S164" s="154"/>
    </row>
    <row r="165">
      <c r="A165" s="154"/>
      <c r="B165" s="154"/>
      <c r="C165" s="155"/>
      <c r="D165" s="156"/>
      <c r="E165" s="155"/>
      <c r="F165" s="155"/>
      <c r="G165" s="155"/>
      <c r="H165" s="157"/>
      <c r="I165" s="154"/>
      <c r="J165" s="154"/>
      <c r="K165" s="154"/>
      <c r="L165" s="155"/>
      <c r="M165" s="156"/>
      <c r="N165" s="155"/>
      <c r="O165" s="155"/>
      <c r="P165" s="155"/>
      <c r="Q165" s="157"/>
      <c r="R165" s="154"/>
      <c r="S165" s="154"/>
    </row>
    <row r="166">
      <c r="A166" s="154"/>
      <c r="B166" s="154"/>
      <c r="C166" s="155"/>
      <c r="D166" s="156"/>
      <c r="E166" s="155"/>
      <c r="F166" s="155"/>
      <c r="G166" s="155"/>
      <c r="H166" s="157"/>
      <c r="I166" s="154"/>
      <c r="J166" s="154"/>
      <c r="K166" s="154"/>
      <c r="L166" s="155"/>
      <c r="M166" s="156"/>
      <c r="N166" s="155"/>
      <c r="O166" s="155"/>
      <c r="P166" s="155"/>
      <c r="Q166" s="157"/>
      <c r="R166" s="154"/>
      <c r="S166" s="154"/>
    </row>
    <row r="167">
      <c r="A167" s="154"/>
      <c r="B167" s="154"/>
      <c r="C167" s="155"/>
      <c r="D167" s="156"/>
      <c r="E167" s="155"/>
      <c r="F167" s="155"/>
      <c r="G167" s="155"/>
      <c r="H167" s="157"/>
      <c r="I167" s="154"/>
      <c r="J167" s="154"/>
      <c r="K167" s="154"/>
      <c r="L167" s="155"/>
      <c r="M167" s="156"/>
      <c r="N167" s="155"/>
      <c r="O167" s="155"/>
      <c r="P167" s="155"/>
      <c r="Q167" s="157"/>
      <c r="R167" s="154"/>
      <c r="S167" s="154"/>
    </row>
    <row r="168">
      <c r="A168" s="154"/>
      <c r="B168" s="154"/>
      <c r="C168" s="155"/>
      <c r="D168" s="156"/>
      <c r="E168" s="155"/>
      <c r="F168" s="155"/>
      <c r="G168" s="155"/>
      <c r="H168" s="157"/>
      <c r="I168" s="154"/>
      <c r="J168" s="154"/>
      <c r="K168" s="154"/>
      <c r="L168" s="155"/>
      <c r="M168" s="156"/>
      <c r="N168" s="155"/>
      <c r="O168" s="155"/>
      <c r="P168" s="155"/>
      <c r="Q168" s="157"/>
      <c r="R168" s="154"/>
      <c r="S168" s="154"/>
    </row>
    <row r="169">
      <c r="A169" s="154"/>
      <c r="B169" s="154"/>
      <c r="C169" s="155"/>
      <c r="D169" s="156"/>
      <c r="E169" s="155"/>
      <c r="F169" s="155"/>
      <c r="G169" s="155"/>
      <c r="H169" s="157"/>
      <c r="I169" s="154"/>
      <c r="J169" s="154"/>
      <c r="K169" s="154"/>
      <c r="L169" s="155"/>
      <c r="M169" s="156"/>
      <c r="N169" s="155"/>
      <c r="O169" s="155"/>
      <c r="P169" s="155"/>
      <c r="Q169" s="157"/>
      <c r="R169" s="154"/>
      <c r="S169" s="154"/>
    </row>
    <row r="170">
      <c r="A170" s="154"/>
      <c r="B170" s="154"/>
      <c r="C170" s="155"/>
      <c r="D170" s="156"/>
      <c r="E170" s="155"/>
      <c r="F170" s="155"/>
      <c r="G170" s="155"/>
      <c r="H170" s="157"/>
      <c r="I170" s="154"/>
      <c r="J170" s="154"/>
      <c r="K170" s="154"/>
      <c r="L170" s="155"/>
      <c r="M170" s="156"/>
      <c r="N170" s="155"/>
      <c r="O170" s="155"/>
      <c r="P170" s="155"/>
      <c r="Q170" s="157"/>
      <c r="R170" s="154"/>
      <c r="S170" s="154"/>
    </row>
    <row r="171">
      <c r="A171" s="154"/>
      <c r="B171" s="154"/>
      <c r="C171" s="155"/>
      <c r="D171" s="156"/>
      <c r="E171" s="155"/>
      <c r="F171" s="155"/>
      <c r="G171" s="155"/>
      <c r="H171" s="157"/>
      <c r="I171" s="154"/>
      <c r="J171" s="154"/>
      <c r="K171" s="154"/>
      <c r="L171" s="155"/>
      <c r="M171" s="156"/>
      <c r="N171" s="155"/>
      <c r="O171" s="155"/>
      <c r="P171" s="155"/>
      <c r="Q171" s="157"/>
      <c r="R171" s="154"/>
      <c r="S171" s="154"/>
    </row>
    <row r="172">
      <c r="A172" s="154"/>
      <c r="B172" s="154"/>
      <c r="C172" s="155"/>
      <c r="D172" s="156"/>
      <c r="E172" s="155"/>
      <c r="F172" s="155"/>
      <c r="G172" s="155"/>
      <c r="H172" s="157"/>
      <c r="I172" s="154"/>
      <c r="J172" s="154"/>
      <c r="K172" s="154"/>
      <c r="L172" s="155"/>
      <c r="M172" s="156"/>
      <c r="N172" s="155"/>
      <c r="O172" s="155"/>
      <c r="P172" s="155"/>
      <c r="Q172" s="157"/>
      <c r="R172" s="154"/>
      <c r="S172" s="154"/>
    </row>
    <row r="173">
      <c r="A173" s="154"/>
      <c r="B173" s="154"/>
      <c r="C173" s="155"/>
      <c r="D173" s="156"/>
      <c r="E173" s="155"/>
      <c r="F173" s="155"/>
      <c r="G173" s="155"/>
      <c r="H173" s="157"/>
      <c r="I173" s="154"/>
      <c r="J173" s="154"/>
      <c r="K173" s="154"/>
      <c r="L173" s="155"/>
      <c r="M173" s="156"/>
      <c r="N173" s="155"/>
      <c r="O173" s="155"/>
      <c r="P173" s="155"/>
      <c r="Q173" s="157"/>
      <c r="R173" s="154"/>
      <c r="S173" s="154"/>
    </row>
    <row r="174">
      <c r="A174" s="154"/>
      <c r="B174" s="154"/>
      <c r="C174" s="155"/>
      <c r="D174" s="156"/>
      <c r="E174" s="155"/>
      <c r="F174" s="155"/>
      <c r="G174" s="155"/>
      <c r="H174" s="157"/>
      <c r="I174" s="154"/>
      <c r="J174" s="154"/>
      <c r="K174" s="154"/>
      <c r="L174" s="155"/>
      <c r="M174" s="156"/>
      <c r="N174" s="155"/>
      <c r="O174" s="155"/>
      <c r="P174" s="155"/>
      <c r="Q174" s="157"/>
      <c r="R174" s="154"/>
      <c r="S174" s="154"/>
    </row>
    <row r="175">
      <c r="A175" s="154"/>
      <c r="B175" s="154"/>
      <c r="C175" s="155"/>
      <c r="D175" s="156"/>
      <c r="E175" s="155"/>
      <c r="F175" s="155"/>
      <c r="G175" s="155"/>
      <c r="H175" s="157"/>
      <c r="I175" s="154"/>
      <c r="J175" s="154"/>
      <c r="K175" s="154"/>
      <c r="L175" s="155"/>
      <c r="M175" s="156"/>
      <c r="N175" s="155"/>
      <c r="O175" s="155"/>
      <c r="P175" s="155"/>
      <c r="Q175" s="157"/>
      <c r="R175" s="154"/>
      <c r="S175" s="154"/>
    </row>
    <row r="176">
      <c r="A176" s="154"/>
      <c r="B176" s="154"/>
      <c r="C176" s="155"/>
      <c r="D176" s="156"/>
      <c r="E176" s="155"/>
      <c r="F176" s="155"/>
      <c r="G176" s="155"/>
      <c r="H176" s="157"/>
      <c r="I176" s="154"/>
      <c r="J176" s="154"/>
      <c r="K176" s="154"/>
      <c r="L176" s="155"/>
      <c r="M176" s="156"/>
      <c r="N176" s="155"/>
      <c r="O176" s="155"/>
      <c r="P176" s="155"/>
      <c r="Q176" s="157"/>
      <c r="R176" s="154"/>
      <c r="S176" s="154"/>
    </row>
    <row r="177">
      <c r="A177" s="154"/>
      <c r="B177" s="154"/>
      <c r="C177" s="155"/>
      <c r="D177" s="156"/>
      <c r="E177" s="155"/>
      <c r="F177" s="155"/>
      <c r="G177" s="155"/>
      <c r="H177" s="157"/>
      <c r="I177" s="154"/>
      <c r="J177" s="154"/>
      <c r="K177" s="154"/>
      <c r="L177" s="155"/>
      <c r="M177" s="156"/>
      <c r="N177" s="155"/>
      <c r="O177" s="155"/>
      <c r="P177" s="155"/>
      <c r="Q177" s="157"/>
      <c r="R177" s="154"/>
      <c r="S177" s="154"/>
    </row>
    <row r="178">
      <c r="A178" s="154"/>
      <c r="B178" s="154"/>
      <c r="C178" s="155"/>
      <c r="D178" s="156"/>
      <c r="E178" s="155"/>
      <c r="F178" s="155"/>
      <c r="G178" s="155"/>
      <c r="H178" s="157"/>
      <c r="I178" s="154"/>
      <c r="J178" s="154"/>
      <c r="K178" s="154"/>
      <c r="L178" s="155"/>
      <c r="M178" s="156"/>
      <c r="N178" s="155"/>
      <c r="O178" s="155"/>
      <c r="P178" s="155"/>
      <c r="Q178" s="157"/>
      <c r="R178" s="154"/>
      <c r="S178" s="154"/>
    </row>
    <row r="179">
      <c r="A179" s="154"/>
      <c r="B179" s="154"/>
      <c r="C179" s="155"/>
      <c r="D179" s="156"/>
      <c r="E179" s="155"/>
      <c r="F179" s="155"/>
      <c r="G179" s="155"/>
      <c r="H179" s="157"/>
      <c r="I179" s="154"/>
      <c r="J179" s="154"/>
      <c r="K179" s="154"/>
      <c r="L179" s="155"/>
      <c r="M179" s="156"/>
      <c r="N179" s="155"/>
      <c r="O179" s="155"/>
      <c r="P179" s="155"/>
      <c r="Q179" s="157"/>
      <c r="R179" s="154"/>
      <c r="S179" s="154"/>
    </row>
    <row r="180">
      <c r="A180" s="154"/>
      <c r="B180" s="154"/>
      <c r="C180" s="155"/>
      <c r="D180" s="156"/>
      <c r="E180" s="155"/>
      <c r="F180" s="155"/>
      <c r="G180" s="155"/>
      <c r="H180" s="157"/>
      <c r="I180" s="154"/>
      <c r="J180" s="154"/>
      <c r="K180" s="154"/>
      <c r="L180" s="155"/>
      <c r="M180" s="156"/>
      <c r="N180" s="155"/>
      <c r="O180" s="155"/>
      <c r="P180" s="155"/>
      <c r="Q180" s="157"/>
      <c r="R180" s="154"/>
      <c r="S180" s="154"/>
    </row>
    <row r="181">
      <c r="A181" s="154"/>
      <c r="B181" s="154"/>
      <c r="C181" s="155"/>
      <c r="D181" s="156"/>
      <c r="E181" s="155"/>
      <c r="F181" s="155"/>
      <c r="G181" s="155"/>
      <c r="H181" s="157"/>
      <c r="I181" s="154"/>
      <c r="J181" s="154"/>
      <c r="K181" s="154"/>
      <c r="L181" s="155"/>
      <c r="M181" s="156"/>
      <c r="N181" s="155"/>
      <c r="O181" s="155"/>
      <c r="P181" s="155"/>
      <c r="Q181" s="157"/>
      <c r="R181" s="154"/>
      <c r="S181" s="154"/>
    </row>
    <row r="182">
      <c r="A182" s="154"/>
      <c r="B182" s="154"/>
      <c r="C182" s="155"/>
      <c r="D182" s="156"/>
      <c r="E182" s="155"/>
      <c r="F182" s="155"/>
      <c r="G182" s="155"/>
      <c r="H182" s="157"/>
      <c r="I182" s="154"/>
      <c r="J182" s="154"/>
      <c r="K182" s="154"/>
      <c r="L182" s="155"/>
      <c r="M182" s="156"/>
      <c r="N182" s="155"/>
      <c r="O182" s="155"/>
      <c r="P182" s="155"/>
      <c r="Q182" s="157"/>
      <c r="R182" s="154"/>
      <c r="S182" s="154"/>
    </row>
    <row r="183">
      <c r="A183" s="154"/>
      <c r="B183" s="154"/>
      <c r="C183" s="155"/>
      <c r="D183" s="156"/>
      <c r="E183" s="155"/>
      <c r="F183" s="155"/>
      <c r="G183" s="155"/>
      <c r="H183" s="157"/>
      <c r="I183" s="154"/>
      <c r="J183" s="154"/>
      <c r="K183" s="154"/>
      <c r="L183" s="155"/>
      <c r="M183" s="156"/>
      <c r="N183" s="155"/>
      <c r="O183" s="155"/>
      <c r="P183" s="155"/>
      <c r="Q183" s="157"/>
      <c r="R183" s="154"/>
      <c r="S183" s="154"/>
    </row>
    <row r="184">
      <c r="A184" s="154"/>
      <c r="B184" s="154"/>
      <c r="C184" s="155"/>
      <c r="D184" s="156"/>
      <c r="E184" s="155"/>
      <c r="F184" s="155"/>
      <c r="G184" s="155"/>
      <c r="H184" s="157"/>
      <c r="I184" s="154"/>
      <c r="J184" s="154"/>
      <c r="K184" s="154"/>
      <c r="L184" s="155"/>
      <c r="M184" s="156"/>
      <c r="N184" s="155"/>
      <c r="O184" s="155"/>
      <c r="P184" s="155"/>
      <c r="Q184" s="157"/>
      <c r="R184" s="154"/>
      <c r="S184" s="154"/>
    </row>
    <row r="185">
      <c r="A185" s="154"/>
      <c r="B185" s="154"/>
      <c r="C185" s="155"/>
      <c r="D185" s="156"/>
      <c r="E185" s="155"/>
      <c r="F185" s="155"/>
      <c r="G185" s="155"/>
      <c r="H185" s="157"/>
      <c r="I185" s="154"/>
      <c r="J185" s="154"/>
      <c r="K185" s="154"/>
      <c r="L185" s="155"/>
      <c r="M185" s="156"/>
      <c r="N185" s="155"/>
      <c r="O185" s="155"/>
      <c r="P185" s="155"/>
      <c r="Q185" s="157"/>
      <c r="R185" s="154"/>
      <c r="S185" s="154"/>
    </row>
    <row r="186">
      <c r="A186" s="154"/>
      <c r="B186" s="154"/>
      <c r="C186" s="155"/>
      <c r="D186" s="156"/>
      <c r="E186" s="155"/>
      <c r="F186" s="155"/>
      <c r="G186" s="155"/>
      <c r="H186" s="157"/>
      <c r="I186" s="154"/>
      <c r="J186" s="154"/>
      <c r="K186" s="154"/>
      <c r="L186" s="155"/>
      <c r="M186" s="156"/>
      <c r="N186" s="155"/>
      <c r="O186" s="155"/>
      <c r="P186" s="155"/>
      <c r="Q186" s="157"/>
      <c r="R186" s="154"/>
      <c r="S186" s="154"/>
    </row>
    <row r="187">
      <c r="A187" s="154"/>
      <c r="B187" s="154"/>
      <c r="C187" s="155"/>
      <c r="D187" s="156"/>
      <c r="E187" s="155"/>
      <c r="F187" s="155"/>
      <c r="G187" s="155"/>
      <c r="H187" s="157"/>
      <c r="I187" s="154"/>
      <c r="J187" s="154"/>
      <c r="K187" s="154"/>
      <c r="L187" s="155"/>
      <c r="M187" s="156"/>
      <c r="N187" s="155"/>
      <c r="O187" s="155"/>
      <c r="P187" s="155"/>
      <c r="Q187" s="157"/>
      <c r="R187" s="154"/>
      <c r="S187" s="154"/>
    </row>
    <row r="188">
      <c r="A188" s="154"/>
      <c r="B188" s="154"/>
      <c r="C188" s="155"/>
      <c r="D188" s="156"/>
      <c r="E188" s="155"/>
      <c r="F188" s="155"/>
      <c r="G188" s="155"/>
      <c r="H188" s="157"/>
      <c r="I188" s="154"/>
      <c r="J188" s="154"/>
      <c r="K188" s="154"/>
      <c r="L188" s="155"/>
      <c r="M188" s="156"/>
      <c r="N188" s="155"/>
      <c r="O188" s="155"/>
      <c r="P188" s="155"/>
      <c r="Q188" s="157"/>
      <c r="R188" s="154"/>
      <c r="S188" s="154"/>
    </row>
    <row r="189">
      <c r="A189" s="154"/>
      <c r="B189" s="154"/>
      <c r="C189" s="155"/>
      <c r="D189" s="156"/>
      <c r="E189" s="155"/>
      <c r="F189" s="155"/>
      <c r="G189" s="155"/>
      <c r="H189" s="157"/>
      <c r="I189" s="154"/>
      <c r="J189" s="154"/>
      <c r="K189" s="154"/>
      <c r="L189" s="155"/>
      <c r="M189" s="156"/>
      <c r="N189" s="155"/>
      <c r="O189" s="155"/>
      <c r="P189" s="155"/>
      <c r="Q189" s="157"/>
      <c r="R189" s="154"/>
      <c r="S189" s="154"/>
    </row>
    <row r="190">
      <c r="A190" s="154"/>
      <c r="B190" s="154"/>
      <c r="C190" s="155"/>
      <c r="D190" s="156"/>
      <c r="E190" s="155"/>
      <c r="F190" s="155"/>
      <c r="G190" s="155"/>
      <c r="H190" s="157"/>
      <c r="I190" s="154"/>
      <c r="J190" s="154"/>
      <c r="K190" s="154"/>
      <c r="L190" s="155"/>
      <c r="M190" s="156"/>
      <c r="N190" s="155"/>
      <c r="O190" s="155"/>
      <c r="P190" s="155"/>
      <c r="Q190" s="157"/>
      <c r="R190" s="154"/>
      <c r="S190" s="154"/>
    </row>
    <row r="191">
      <c r="A191" s="154"/>
      <c r="B191" s="154"/>
      <c r="C191" s="155"/>
      <c r="D191" s="156"/>
      <c r="E191" s="155"/>
      <c r="F191" s="155"/>
      <c r="G191" s="155"/>
      <c r="H191" s="157"/>
      <c r="I191" s="154"/>
      <c r="J191" s="154"/>
      <c r="K191" s="154"/>
      <c r="L191" s="155"/>
      <c r="M191" s="156"/>
      <c r="N191" s="155"/>
      <c r="O191" s="155"/>
      <c r="P191" s="155"/>
      <c r="Q191" s="157"/>
      <c r="R191" s="154"/>
      <c r="S191" s="154"/>
    </row>
    <row r="192">
      <c r="A192" s="154"/>
      <c r="B192" s="154"/>
      <c r="C192" s="155"/>
      <c r="D192" s="156"/>
      <c r="E192" s="155"/>
      <c r="F192" s="155"/>
      <c r="G192" s="155"/>
      <c r="H192" s="157"/>
      <c r="I192" s="154"/>
      <c r="J192" s="154"/>
      <c r="K192" s="154"/>
      <c r="L192" s="155"/>
      <c r="M192" s="156"/>
      <c r="N192" s="155"/>
      <c r="O192" s="155"/>
      <c r="P192" s="155"/>
      <c r="Q192" s="157"/>
      <c r="R192" s="154"/>
      <c r="S192" s="154"/>
    </row>
    <row r="193">
      <c r="A193" s="154"/>
      <c r="B193" s="154"/>
      <c r="C193" s="155"/>
      <c r="D193" s="156"/>
      <c r="E193" s="155"/>
      <c r="F193" s="155"/>
      <c r="G193" s="155"/>
      <c r="H193" s="157"/>
      <c r="I193" s="154"/>
      <c r="J193" s="154"/>
      <c r="K193" s="154"/>
      <c r="L193" s="155"/>
      <c r="M193" s="156"/>
      <c r="N193" s="155"/>
      <c r="O193" s="155"/>
      <c r="P193" s="155"/>
      <c r="Q193" s="157"/>
      <c r="R193" s="154"/>
      <c r="S193" s="154"/>
    </row>
    <row r="194">
      <c r="A194" s="154"/>
      <c r="B194" s="154"/>
      <c r="C194" s="155"/>
      <c r="D194" s="156"/>
      <c r="E194" s="155"/>
      <c r="F194" s="155"/>
      <c r="G194" s="155"/>
      <c r="H194" s="157"/>
      <c r="I194" s="154"/>
      <c r="J194" s="154"/>
      <c r="K194" s="154"/>
      <c r="L194" s="155"/>
      <c r="M194" s="156"/>
      <c r="N194" s="155"/>
      <c r="O194" s="155"/>
      <c r="P194" s="155"/>
      <c r="Q194" s="157"/>
      <c r="R194" s="154"/>
      <c r="S194" s="154"/>
    </row>
    <row r="195">
      <c r="A195" s="154"/>
      <c r="B195" s="154"/>
      <c r="C195" s="155"/>
      <c r="D195" s="156"/>
      <c r="E195" s="155"/>
      <c r="F195" s="155"/>
      <c r="G195" s="155"/>
      <c r="H195" s="157"/>
      <c r="I195" s="154"/>
      <c r="J195" s="154"/>
      <c r="K195" s="154"/>
      <c r="L195" s="155"/>
      <c r="M195" s="156"/>
      <c r="N195" s="155"/>
      <c r="O195" s="155"/>
      <c r="P195" s="155"/>
      <c r="Q195" s="157"/>
      <c r="R195" s="154"/>
      <c r="S195" s="154"/>
    </row>
    <row r="196">
      <c r="A196" s="154"/>
      <c r="B196" s="154"/>
      <c r="C196" s="155"/>
      <c r="D196" s="156"/>
      <c r="E196" s="155"/>
      <c r="F196" s="155"/>
      <c r="G196" s="155"/>
      <c r="H196" s="157"/>
      <c r="I196" s="154"/>
      <c r="J196" s="154"/>
      <c r="K196" s="154"/>
      <c r="L196" s="155"/>
      <c r="M196" s="156"/>
      <c r="N196" s="155"/>
      <c r="O196" s="155"/>
      <c r="P196" s="155"/>
      <c r="Q196" s="157"/>
      <c r="R196" s="154"/>
      <c r="S196" s="154"/>
    </row>
    <row r="197">
      <c r="A197" s="154"/>
      <c r="B197" s="154"/>
      <c r="C197" s="155"/>
      <c r="D197" s="156"/>
      <c r="E197" s="155"/>
      <c r="F197" s="155"/>
      <c r="G197" s="155"/>
      <c r="H197" s="157"/>
      <c r="I197" s="154"/>
      <c r="J197" s="154"/>
      <c r="K197" s="154"/>
      <c r="L197" s="155"/>
      <c r="M197" s="156"/>
      <c r="N197" s="155"/>
      <c r="O197" s="155"/>
      <c r="P197" s="155"/>
      <c r="Q197" s="157"/>
      <c r="R197" s="154"/>
      <c r="S197" s="154"/>
    </row>
    <row r="198">
      <c r="A198" s="154"/>
      <c r="B198" s="154"/>
      <c r="C198" s="155"/>
      <c r="D198" s="156"/>
      <c r="E198" s="155"/>
      <c r="F198" s="155"/>
      <c r="G198" s="155"/>
      <c r="H198" s="157"/>
      <c r="I198" s="154"/>
      <c r="J198" s="154"/>
      <c r="K198" s="154"/>
      <c r="L198" s="155"/>
      <c r="M198" s="156"/>
      <c r="N198" s="155"/>
      <c r="O198" s="155"/>
      <c r="P198" s="155"/>
      <c r="Q198" s="157"/>
      <c r="R198" s="154"/>
      <c r="S198" s="154"/>
    </row>
    <row r="199">
      <c r="A199" s="154"/>
      <c r="B199" s="154"/>
      <c r="C199" s="155"/>
      <c r="D199" s="156"/>
      <c r="E199" s="155"/>
      <c r="F199" s="155"/>
      <c r="G199" s="155"/>
      <c r="H199" s="157"/>
      <c r="I199" s="154"/>
      <c r="J199" s="154"/>
      <c r="K199" s="154"/>
      <c r="L199" s="155"/>
      <c r="M199" s="156"/>
      <c r="N199" s="155"/>
      <c r="O199" s="155"/>
      <c r="P199" s="155"/>
      <c r="Q199" s="157"/>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sheetData>
  <mergeCells count="6">
    <mergeCell ref="C1:H1"/>
    <mergeCell ref="L1:Q1"/>
    <mergeCell ref="C2:H2"/>
    <mergeCell ref="L2:Q2"/>
    <mergeCell ref="C3:H3"/>
    <mergeCell ref="L3:Q3"/>
  </mergeCells>
  <dataValidations>
    <dataValidation type="list" allowBlank="1" showErrorMessage="1" sqref="A1:C1 I1:L1 R1:S1">
      <formula1>'All Competencies'!$A$3:$A590</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Q9"/>
    <hyperlink r:id="rId21" ref="D10"/>
    <hyperlink r:id="rId22" ref="H10"/>
    <hyperlink r:id="rId23" ref="M10"/>
    <hyperlink r:id="rId24" ref="Q10"/>
    <hyperlink r:id="rId25" ref="D11"/>
    <hyperlink r:id="rId26" ref="H11"/>
    <hyperlink r:id="rId27" ref="M11"/>
    <hyperlink r:id="rId28" ref="Q11"/>
    <hyperlink r:id="rId29" ref="D12"/>
    <hyperlink r:id="rId30" ref="H12"/>
    <hyperlink r:id="rId31" ref="M12"/>
    <hyperlink r:id="rId32" ref="D13"/>
    <hyperlink r:id="rId33" ref="H13"/>
    <hyperlink r:id="rId34" ref="M13"/>
    <hyperlink r:id="rId35" ref="D14"/>
    <hyperlink r:id="rId36" ref="H14"/>
    <hyperlink r:id="rId37" ref="M14"/>
    <hyperlink r:id="rId38" ref="D15"/>
    <hyperlink r:id="rId39" ref="M15"/>
    <hyperlink r:id="rId40" ref="D16"/>
    <hyperlink r:id="rId41" ref="M16"/>
    <hyperlink r:id="rId42" ref="D17"/>
    <hyperlink r:id="rId43" ref="M17"/>
    <hyperlink r:id="rId44" ref="D18"/>
    <hyperlink r:id="rId45" ref="M18"/>
    <hyperlink r:id="rId46" ref="D19"/>
    <hyperlink r:id="rId47" ref="M19"/>
    <hyperlink r:id="rId48" ref="D20"/>
    <hyperlink r:id="rId49" ref="M20"/>
    <hyperlink r:id="rId50" ref="D21"/>
    <hyperlink r:id="rId51" ref="M21"/>
    <hyperlink r:id="rId52" ref="D22"/>
    <hyperlink r:id="rId53" ref="M22"/>
    <hyperlink r:id="rId54" ref="D23"/>
    <hyperlink r:id="rId55" ref="M23"/>
    <hyperlink r:id="rId56" ref="D24"/>
    <hyperlink r:id="rId57" ref="M24"/>
    <hyperlink r:id="rId58" ref="D25"/>
    <hyperlink r:id="rId59" ref="M25"/>
    <hyperlink r:id="rId60" ref="D26"/>
    <hyperlink r:id="rId61" ref="M26"/>
    <hyperlink r:id="rId62" ref="D27"/>
    <hyperlink r:id="rId63" ref="M27"/>
    <hyperlink r:id="rId64" ref="D28"/>
    <hyperlink r:id="rId65" ref="M28"/>
    <hyperlink r:id="rId66" ref="D29"/>
    <hyperlink r:id="rId67" ref="M29"/>
    <hyperlink r:id="rId68" ref="D30"/>
    <hyperlink r:id="rId69" ref="M30"/>
    <hyperlink r:id="rId70" ref="D31"/>
    <hyperlink r:id="rId71" ref="M31"/>
    <hyperlink r:id="rId72" ref="D32"/>
    <hyperlink r:id="rId73" ref="M32"/>
    <hyperlink r:id="rId74" ref="D33"/>
    <hyperlink r:id="rId75" ref="M33"/>
    <hyperlink r:id="rId76" ref="D34"/>
    <hyperlink r:id="rId77" ref="M34"/>
    <hyperlink r:id="rId78" ref="D35"/>
    <hyperlink r:id="rId79" ref="M35"/>
    <hyperlink r:id="rId80" ref="D36"/>
    <hyperlink r:id="rId81" ref="M36"/>
    <hyperlink r:id="rId82" ref="D37"/>
    <hyperlink r:id="rId83" ref="M37"/>
    <hyperlink r:id="rId84" ref="D38"/>
    <hyperlink r:id="rId85" ref="M38"/>
    <hyperlink r:id="rId86" ref="D39"/>
    <hyperlink r:id="rId87" ref="M39"/>
    <hyperlink r:id="rId88" ref="D40"/>
    <hyperlink r:id="rId89" ref="M40"/>
    <hyperlink r:id="rId90" ref="D41"/>
    <hyperlink r:id="rId91" ref="M41"/>
    <hyperlink r:id="rId92" ref="D42"/>
    <hyperlink r:id="rId93" ref="M42"/>
    <hyperlink r:id="rId94" ref="D43"/>
    <hyperlink r:id="rId95" ref="M43"/>
    <hyperlink r:id="rId96" ref="D44"/>
    <hyperlink r:id="rId97" ref="M44"/>
    <hyperlink r:id="rId98" ref="D45"/>
    <hyperlink r:id="rId99" ref="M45"/>
    <hyperlink r:id="rId100" ref="D46"/>
    <hyperlink r:id="rId101" ref="M46"/>
    <hyperlink r:id="rId102" ref="D47"/>
    <hyperlink r:id="rId103" ref="M47"/>
    <hyperlink r:id="rId104" ref="D48"/>
    <hyperlink r:id="rId105" ref="M48"/>
    <hyperlink r:id="rId106" ref="D49"/>
    <hyperlink r:id="rId107" ref="M49"/>
    <hyperlink r:id="rId108" ref="D50"/>
    <hyperlink r:id="rId109" ref="D51"/>
    <hyperlink r:id="rId110" ref="D52"/>
    <hyperlink r:id="rId111" ref="D53"/>
    <hyperlink r:id="rId112" ref="D54"/>
    <hyperlink r:id="rId113" ref="D55"/>
    <hyperlink r:id="rId114" ref="D56"/>
    <hyperlink r:id="rId115" ref="D57"/>
    <hyperlink r:id="rId116" ref="D58"/>
    <hyperlink r:id="rId117" ref="D59"/>
    <hyperlink r:id="rId118" ref="D60"/>
    <hyperlink r:id="rId119" ref="D61"/>
    <hyperlink r:id="rId120" ref="D62"/>
    <hyperlink r:id="rId121" ref="D63"/>
    <hyperlink r:id="rId122" ref="D64"/>
    <hyperlink r:id="rId123" ref="D65"/>
    <hyperlink r:id="rId124" ref="D66"/>
    <hyperlink r:id="rId125" ref="D67"/>
    <hyperlink r:id="rId126" ref="D68"/>
    <hyperlink r:id="rId127" ref="D69"/>
    <hyperlink r:id="rId128" ref="D70"/>
    <hyperlink r:id="rId129" ref="D71"/>
    <hyperlink r:id="rId130" ref="D72"/>
    <hyperlink r:id="rId131" ref="D73"/>
    <hyperlink r:id="rId132" ref="D74"/>
    <hyperlink r:id="rId133" ref="D75"/>
    <hyperlink r:id="rId134" ref="D76"/>
    <hyperlink r:id="rId135" ref="D77"/>
    <hyperlink r:id="rId136" ref="D78"/>
    <hyperlink r:id="rId137" ref="D79"/>
    <hyperlink r:id="rId138" ref="D80"/>
    <hyperlink r:id="rId139" ref="D81"/>
  </hyperlinks>
  <drawing r:id="rId140"/>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50.38"/>
    <col customWidth="1" min="5" max="5" width="20.13"/>
    <col customWidth="1" min="6" max="6" width="22.38"/>
    <col customWidth="1" min="7" max="7" width="11.38"/>
    <col customWidth="1" min="8" max="8" width="43.88"/>
    <col customWidth="1" min="9" max="11" width="0.63"/>
    <col customWidth="1" min="12" max="12" width="11.88"/>
    <col customWidth="1" min="13" max="13" width="48.0"/>
    <col customWidth="1" min="14" max="14" width="20.13"/>
    <col customWidth="1" min="15" max="15" width="22.38"/>
    <col customWidth="1" min="16" max="16" width="11.38"/>
    <col customWidth="1" min="17" max="17" width="43.88"/>
    <col customWidth="1" min="18" max="19" width="0.63"/>
  </cols>
  <sheetData>
    <row r="1" ht="27.75" customHeight="1" outlineLevel="1">
      <c r="A1" s="130"/>
      <c r="B1" s="130"/>
      <c r="C1" s="131" t="s">
        <v>1486</v>
      </c>
      <c r="I1" s="130"/>
      <c r="J1" s="130"/>
      <c r="K1" s="130"/>
      <c r="L1" s="131" t="s">
        <v>1582</v>
      </c>
      <c r="R1" s="130"/>
      <c r="S1" s="130"/>
    </row>
    <row r="2" outlineLevel="1">
      <c r="A2" s="132"/>
      <c r="B2" s="132"/>
      <c r="C2" s="133" t="s">
        <v>1986</v>
      </c>
      <c r="I2" s="132"/>
      <c r="J2" s="132"/>
      <c r="K2" s="132"/>
      <c r="L2" s="133" t="s">
        <v>1986</v>
      </c>
      <c r="R2" s="132"/>
      <c r="S2" s="132"/>
    </row>
    <row r="3" outlineLevel="1">
      <c r="A3" s="134"/>
      <c r="B3" s="134"/>
      <c r="C3" s="135" t="str">
        <f>IFERROR(__xludf.DUMMYFUNCTION("IFERROR(UNIQUE(FILTER('Competency Learning Paths'!N:N,'Competency Learning Paths'!A:A= C1)))"),"Time Management, Plan and Schedule Resources, Risk Management, Team Management, Communication and Leadership Skills, Quality Control")</f>
        <v>Time Management, Plan and Schedule Resources, Risk Management, Team Management, Communication and Leadership Skills, Quality Control</v>
      </c>
      <c r="I3" s="134"/>
      <c r="J3" s="134"/>
      <c r="K3" s="134"/>
      <c r="L3" s="135" t="str">
        <f>IFERROR(__xludf.DUMMYFUNCTION("IFERROR(UNIQUE(FILTER('Competency Learning Paths'!N:N,'Competency Learning Paths'!A:A= L1)))"),"Prospecting, Upselling, Time Management, Build Rapport, Lead Conversations, Drive Buying Decisions, Emotional Intelligence, Maintain Positivity, Build Solutions, Negotiating Prowess, Growth Opportunities, Networking, Influencing, Persuasive Selling")</f>
        <v>Prospecting, Upselling, Time Management, Build Rapport, Lead Conversations, Drive Buying Decisions, Emotional Intelligence, Maintain Positivity, Build Solutions, Negotiating Prowess, Growth Opportunities, Networking, Influencing, Persuasive Selling</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IFERROR(__xludf.DUMMYFUNCTION("""COMPUTED_VALUE"""),2818082.0)</f>
        <v>2818082</v>
      </c>
      <c r="D5" s="142" t="str">
        <f>IFERROR(__xludf.DUMMYFUNCTION("""COMPUTED_VALUE"""),"Lean Technology Strategy: Economic Frameworks for Portfolio and Product Management")</f>
        <v>Lean Technology Strategy: Economic Frameworks for Portfolio and Product Management</v>
      </c>
      <c r="E5" s="141" t="str">
        <f>IFERROR(__xludf.DUMMYFUNCTION("""COMPUTED_VALUE"""),"C-Suite")</f>
        <v>C-Suite</v>
      </c>
      <c r="F5" s="141" t="str">
        <f>IFERROR(__xludf.DUMMYFUNCTION("""COMPUTED_VALUE"""),"Intermediate")</f>
        <v>Intermediate</v>
      </c>
      <c r="G5" s="143">
        <f>IFERROR(__xludf.DUMMYFUNCTION("""COMPUTED_VALUE"""),0.025532407407407406)</f>
        <v>0.02553240741</v>
      </c>
      <c r="H5" s="144" t="str">
        <f>IFERROR(__xludf.DUMMYFUNCTION("""COMPUTED_VALUE"""),"Become an Agile Project Manager")</f>
        <v>Become an Agile Project Manager</v>
      </c>
      <c r="I5" s="140"/>
      <c r="J5" s="140"/>
      <c r="K5" s="140"/>
      <c r="L5" s="141">
        <f>IFERROR(__xludf.DUMMYFUNCTION("""COMPUTED_VALUE"""),740417.0)</f>
        <v>740417</v>
      </c>
      <c r="M5" s="145" t="str">
        <f>IFERROR(__xludf.DUMMYFUNCTION("""COMPUTED_VALUE"""),"CMO Foundations: Measuring Marketing Effectiveness (ROI)")</f>
        <v>CMO Foundations: Measuring Marketing Effectiveness (ROI)</v>
      </c>
      <c r="N5" s="141" t="str">
        <f>IFERROR(__xludf.DUMMYFUNCTION("""COMPUTED_VALUE"""),"C-Suite")</f>
        <v>C-Suite</v>
      </c>
      <c r="O5" s="141" t="str">
        <f>IFERROR(__xludf.DUMMYFUNCTION("""COMPUTED_VALUE"""),"Beginner")</f>
        <v>Beginner</v>
      </c>
      <c r="P5" s="146">
        <f>IFERROR(__xludf.DUMMYFUNCTION("""COMPUTED_VALUE"""),0.030462962962962963)</f>
        <v>0.03046296296</v>
      </c>
      <c r="Q5" s="144" t="str">
        <f>IFERROR(__xludf.DUMMYFUNCTION("""COMPUTED_VALUE"""),"Become a Sales Manager")</f>
        <v>Become a Sales Manager</v>
      </c>
      <c r="R5" s="140"/>
      <c r="S5" s="140"/>
    </row>
    <row r="6">
      <c r="A6" s="140"/>
      <c r="B6" s="140"/>
      <c r="C6" s="147">
        <f>IFERROR(__xludf.DUMMYFUNCTION("""COMPUTED_VALUE"""),2889004.0)</f>
        <v>2889004</v>
      </c>
      <c r="D6" s="148" t="str">
        <f>IFERROR(__xludf.DUMMYFUNCTION("""COMPUTED_VALUE"""),"How to Be an Effective Project Sponsor")</f>
        <v>How to Be an Effective Project Sponsor</v>
      </c>
      <c r="E6" s="147" t="str">
        <f>IFERROR(__xludf.DUMMYFUNCTION("""COMPUTED_VALUE"""),"Senior Manager")</f>
        <v>Senior Manager</v>
      </c>
      <c r="F6" s="141" t="str">
        <f>IFERROR(__xludf.DUMMYFUNCTION("""COMPUTED_VALUE"""),"Beginner")</f>
        <v>Beginner</v>
      </c>
      <c r="G6" s="143">
        <f>IFERROR(__xludf.DUMMYFUNCTION("""COMPUTED_VALUE"""),0.04297453703703704)</f>
        <v>0.04297453704</v>
      </c>
      <c r="H6" s="149" t="str">
        <f>IFERROR(__xludf.DUMMYFUNCTION("""COMPUTED_VALUE"""),"Become a Business Analyst")</f>
        <v>Become a Business Analyst</v>
      </c>
      <c r="I6" s="140"/>
      <c r="J6" s="140"/>
      <c r="K6" s="140"/>
      <c r="L6" s="147">
        <f>IFERROR(__xludf.DUMMYFUNCTION("""COMPUTED_VALUE"""),2825603.0)</f>
        <v>2825603</v>
      </c>
      <c r="M6" s="150" t="str">
        <f>IFERROR(__xludf.DUMMYFUNCTION("""COMPUTED_VALUE"""),"Business Fundamentals for Customer Success Managers")</f>
        <v>Business Fundamentals for Customer Success Managers</v>
      </c>
      <c r="N6" s="147" t="str">
        <f>IFERROR(__xludf.DUMMYFUNCTION("""COMPUTED_VALUE"""),"Manager")</f>
        <v>Manager</v>
      </c>
      <c r="O6" s="141" t="str">
        <f>IFERROR(__xludf.DUMMYFUNCTION("""COMPUTED_VALUE"""),"Beginner")</f>
        <v>Beginner</v>
      </c>
      <c r="P6" s="146">
        <f>IFERROR(__xludf.DUMMYFUNCTION("""COMPUTED_VALUE"""),0.04846064814814815)</f>
        <v>0.04846064815</v>
      </c>
      <c r="Q6" s="149" t="str">
        <f>IFERROR(__xludf.DUMMYFUNCTION("""COMPUTED_VALUE"""),"Become a Sales Representative")</f>
        <v>Become a Sales Representative</v>
      </c>
      <c r="R6" s="140"/>
      <c r="S6" s="140"/>
    </row>
    <row r="7">
      <c r="A7" s="140"/>
      <c r="B7" s="140"/>
      <c r="C7" s="147">
        <f>IFERROR(__xludf.DUMMYFUNCTION("""COMPUTED_VALUE"""),704118.0)</f>
        <v>704118</v>
      </c>
      <c r="D7" s="148" t="str">
        <f>IFERROR(__xludf.DUMMYFUNCTION("""COMPUTED_VALUE"""),"Delivering Results with a Business-focused PMO")</f>
        <v>Delivering Results with a Business-focused PMO</v>
      </c>
      <c r="E7" s="147" t="str">
        <f>IFERROR(__xludf.DUMMYFUNCTION("""COMPUTED_VALUE"""),"Senior Manager")</f>
        <v>Senior Manager</v>
      </c>
      <c r="F7" s="141" t="str">
        <f>IFERROR(__xludf.DUMMYFUNCTION("""COMPUTED_VALUE"""),"Beginner + Intermediate")</f>
        <v>Beginner + Intermediate</v>
      </c>
      <c r="G7" s="143">
        <f>IFERROR(__xludf.DUMMYFUNCTION("""COMPUTED_VALUE"""),0.039837962962962964)</f>
        <v>0.03983796296</v>
      </c>
      <c r="H7" s="149" t="str">
        <f>IFERROR(__xludf.DUMMYFUNCTION("""COMPUTED_VALUE"""),"Become a Business Intelligence Specialist")</f>
        <v>Become a Business Intelligence Specialist</v>
      </c>
      <c r="I7" s="140"/>
      <c r="J7" s="140"/>
      <c r="K7" s="140"/>
      <c r="L7" s="147">
        <f>IFERROR(__xludf.DUMMYFUNCTION("""COMPUTED_VALUE"""),693074.0)</f>
        <v>693074</v>
      </c>
      <c r="M7" s="150" t="str">
        <f>IFERROR(__xludf.DUMMYFUNCTION("""COMPUTED_VALUE"""),"Retail Sales Management")</f>
        <v>Retail Sales Management</v>
      </c>
      <c r="N7" s="147" t="str">
        <f>IFERROR(__xludf.DUMMYFUNCTION("""COMPUTED_VALUE"""),"Manager")</f>
        <v>Manager</v>
      </c>
      <c r="O7" s="141" t="str">
        <f>IFERROR(__xludf.DUMMYFUNCTION("""COMPUTED_VALUE"""),"Intermediate")</f>
        <v>Intermediate</v>
      </c>
      <c r="P7" s="146">
        <f>IFERROR(__xludf.DUMMYFUNCTION("""COMPUTED_VALUE"""),0.019791666666666666)</f>
        <v>0.01979166667</v>
      </c>
      <c r="Q7" s="149" t="str">
        <f>IFERROR(__xludf.DUMMYFUNCTION("""COMPUTED_VALUE"""),"Become a Retail Sales Associate")</f>
        <v>Become a Retail Sales Associate</v>
      </c>
      <c r="R7" s="140"/>
      <c r="S7" s="140"/>
    </row>
    <row r="8">
      <c r="A8" s="140"/>
      <c r="B8" s="140"/>
      <c r="C8" s="147">
        <f>IFERROR(__xludf.DUMMYFUNCTION("""COMPUTED_VALUE"""),3019025.0)</f>
        <v>3019025</v>
      </c>
      <c r="D8" s="148" t="str">
        <f>IFERROR(__xludf.DUMMYFUNCTION("""COMPUTED_VALUE"""),"Project Management Skills for Leaders")</f>
        <v>Project Management Skills for Leaders</v>
      </c>
      <c r="E8" s="147" t="str">
        <f>IFERROR(__xludf.DUMMYFUNCTION("""COMPUTED_VALUE"""),"Senior Manager")</f>
        <v>Senior Manager</v>
      </c>
      <c r="F8" s="141" t="str">
        <f>IFERROR(__xludf.DUMMYFUNCTION("""COMPUTED_VALUE"""),"Intermediate")</f>
        <v>Intermediate</v>
      </c>
      <c r="G8" s="143">
        <f>IFERROR(__xludf.DUMMYFUNCTION("""COMPUTED_VALUE"""),0.025127314814814814)</f>
        <v>0.02512731481</v>
      </c>
      <c r="H8" s="149" t="str">
        <f>IFERROR(__xludf.DUMMYFUNCTION("""COMPUTED_VALUE"""),"Become a Government Project Manager")</f>
        <v>Become a Government Project Manager</v>
      </c>
      <c r="I8" s="140"/>
      <c r="J8" s="140"/>
      <c r="K8" s="140"/>
      <c r="L8" s="147">
        <f>IFERROR(__xludf.DUMMYFUNCTION("""COMPUTED_VALUE"""),2887215.0)</f>
        <v>2887215</v>
      </c>
      <c r="M8" s="150" t="str">
        <f>IFERROR(__xludf.DUMMYFUNCTION("""COMPUTED_VALUE"""),"Sales Leadership: Building a Thriving Coaching Culture")</f>
        <v>Sales Leadership: Building a Thriving Coaching Culture</v>
      </c>
      <c r="N8" s="147" t="str">
        <f>IFERROR(__xludf.DUMMYFUNCTION("""COMPUTED_VALUE"""),"Manager")</f>
        <v>Manager</v>
      </c>
      <c r="O8" s="141" t="str">
        <f>IFERROR(__xludf.DUMMYFUNCTION("""COMPUTED_VALUE"""),"Intermediate")</f>
        <v>Intermediate</v>
      </c>
      <c r="P8" s="146">
        <f>IFERROR(__xludf.DUMMYFUNCTION("""COMPUTED_VALUE"""),0.048935185185185186)</f>
        <v>0.04893518519</v>
      </c>
      <c r="Q8" s="149" t="str">
        <f>IFERROR(__xludf.DUMMYFUNCTION("""COMPUTED_VALUE"""),"Build Your Skills in Customer Billing Support")</f>
        <v>Build Your Skills in Customer Billing Support</v>
      </c>
      <c r="R8" s="140"/>
      <c r="S8" s="140"/>
    </row>
    <row r="9" ht="33.75" customHeight="1">
      <c r="A9" s="140"/>
      <c r="B9" s="140"/>
      <c r="C9" s="147">
        <f>IFERROR(__xludf.DUMMYFUNCTION("""COMPUTED_VALUE"""),647653.0)</f>
        <v>647653</v>
      </c>
      <c r="D9" s="148" t="str">
        <f>IFERROR(__xludf.DUMMYFUNCTION("""COMPUTED_VALUE"""),"Creating a Culture of Service")</f>
        <v>Creating a Culture of Service</v>
      </c>
      <c r="E9" s="147" t="str">
        <f>IFERROR(__xludf.DUMMYFUNCTION("""COMPUTED_VALUE"""),"Senior Manager")</f>
        <v>Senior Manager</v>
      </c>
      <c r="F9" s="141" t="str">
        <f>IFERROR(__xludf.DUMMYFUNCTION("""COMPUTED_VALUE"""),"Advanced")</f>
        <v>Advanced</v>
      </c>
      <c r="G9" s="143">
        <f>IFERROR(__xludf.DUMMYFUNCTION("""COMPUTED_VALUE"""),0.03446759259259259)</f>
        <v>0.03446759259</v>
      </c>
      <c r="H9" s="149" t="str">
        <f>IFERROR(__xludf.DUMMYFUNCTION("""COMPUTED_VALUE"""),"Become a Healthcare Project Manager")</f>
        <v>Become a Healthcare Project Manager</v>
      </c>
      <c r="I9" s="140"/>
      <c r="J9" s="140"/>
      <c r="K9" s="140"/>
      <c r="L9" s="147">
        <f>IFERROR(__xludf.DUMMYFUNCTION("""COMPUTED_VALUE"""),2422520.0)</f>
        <v>2422520</v>
      </c>
      <c r="M9" s="148" t="str">
        <f>IFERROR(__xludf.DUMMYFUNCTION("""COMPUTED_VALUE"""),"Sales Coaching")</f>
        <v>Sales Coaching</v>
      </c>
      <c r="N9" s="147" t="str">
        <f>IFERROR(__xludf.DUMMYFUNCTION("""COMPUTED_VALUE"""),"Manager")</f>
        <v>Manager</v>
      </c>
      <c r="O9" s="141" t="str">
        <f>IFERROR(__xludf.DUMMYFUNCTION("""COMPUTED_VALUE"""),"Intermediate")</f>
        <v>Intermediate</v>
      </c>
      <c r="P9" s="143">
        <f>IFERROR(__xludf.DUMMYFUNCTION("""COMPUTED_VALUE"""),0.04732638888888889)</f>
        <v>0.04732638889</v>
      </c>
      <c r="Q9" s="149" t="str">
        <f>IFERROR(__xludf.DUMMYFUNCTION("""COMPUTED_VALUE"""),"Build Your Skills in Sales Development")</f>
        <v>Build Your Skills in Sales Development</v>
      </c>
      <c r="R9" s="140"/>
      <c r="S9" s="140"/>
    </row>
    <row r="10" ht="33.75" customHeight="1">
      <c r="A10" s="140"/>
      <c r="B10" s="140"/>
      <c r="C10" s="147">
        <f>IFERROR(__xludf.DUMMYFUNCTION("""COMPUTED_VALUE"""),2846053.0)</f>
        <v>2846053</v>
      </c>
      <c r="D10" s="148" t="str">
        <f>IFERROR(__xludf.DUMMYFUNCTION("""COMPUTED_VALUE"""),"Leading Remote Projects and Virtual Teams")</f>
        <v>Leading Remote Projects and Virtual Teams</v>
      </c>
      <c r="E10" s="147" t="str">
        <f>IFERROR(__xludf.DUMMYFUNCTION("""COMPUTED_VALUE"""),"Manager")</f>
        <v>Manager</v>
      </c>
      <c r="F10" s="141" t="str">
        <f>IFERROR(__xludf.DUMMYFUNCTION("""COMPUTED_VALUE"""),"Beginner")</f>
        <v>Beginner</v>
      </c>
      <c r="G10" s="143">
        <f>IFERROR(__xludf.DUMMYFUNCTION("""COMPUTED_VALUE"""),0.02045138888888889)</f>
        <v>0.02045138889</v>
      </c>
      <c r="H10" s="158" t="str">
        <f>IFERROR(__xludf.DUMMYFUNCTION("""COMPUTED_VALUE"""),"Become a Portfolio Manager")</f>
        <v>Become a Portfolio Manager</v>
      </c>
      <c r="I10" s="140"/>
      <c r="J10" s="140"/>
      <c r="K10" s="140"/>
      <c r="L10" s="147">
        <f>IFERROR(__xludf.DUMMYFUNCTION("""COMPUTED_VALUE"""),3005391.0)</f>
        <v>3005391</v>
      </c>
      <c r="M10" s="148" t="str">
        <f>IFERROR(__xludf.DUMMYFUNCTION("""COMPUTED_VALUE"""),"Sales Management Foundations")</f>
        <v>Sales Management Foundations</v>
      </c>
      <c r="N10" s="147" t="str">
        <f>IFERROR(__xludf.DUMMYFUNCTION("""COMPUTED_VALUE"""),"Manager")</f>
        <v>Manager</v>
      </c>
      <c r="O10" s="141" t="str">
        <f>IFERROR(__xludf.DUMMYFUNCTION("""COMPUTED_VALUE"""),"Intermediate")</f>
        <v>Intermediate</v>
      </c>
      <c r="P10" s="143">
        <f>IFERROR(__xludf.DUMMYFUNCTION("""COMPUTED_VALUE"""),0.042326388888888886)</f>
        <v>0.04232638889</v>
      </c>
      <c r="Q10" s="158" t="str">
        <f>IFERROR(__xludf.DUMMYFUNCTION("""COMPUTED_VALUE"""),"Create a Successful Pitch for Investors")</f>
        <v>Create a Successful Pitch for Investors</v>
      </c>
      <c r="R10" s="140"/>
      <c r="S10" s="140"/>
    </row>
    <row r="11" ht="33.75" customHeight="1">
      <c r="A11" s="140"/>
      <c r="B11" s="140"/>
      <c r="C11" s="147">
        <f>IFERROR(__xludf.DUMMYFUNCTION("""COMPUTED_VALUE"""),2453230.0)</f>
        <v>2453230</v>
      </c>
      <c r="D11" s="148" t="str">
        <f>IFERROR(__xludf.DUMMYFUNCTION("""COMPUTED_VALUE"""),"Mistakes to Avoid in Agile Project Management")</f>
        <v>Mistakes to Avoid in Agile Project Management</v>
      </c>
      <c r="E11" s="147" t="str">
        <f>IFERROR(__xludf.DUMMYFUNCTION("""COMPUTED_VALUE"""),"Manager")</f>
        <v>Manager</v>
      </c>
      <c r="F11" s="141" t="str">
        <f>IFERROR(__xludf.DUMMYFUNCTION("""COMPUTED_VALUE"""),"Beginner")</f>
        <v>Beginner</v>
      </c>
      <c r="G11" s="143">
        <f>IFERROR(__xludf.DUMMYFUNCTION("""COMPUTED_VALUE"""),0.05851851851851852)</f>
        <v>0.05851851852</v>
      </c>
      <c r="H11" s="149" t="str">
        <f>IFERROR(__xludf.DUMMYFUNCTION("""COMPUTED_VALUE"""),"Become an Outsourcing Specialist")</f>
        <v>Become an Outsourcing Specialist</v>
      </c>
      <c r="I11" s="140"/>
      <c r="J11" s="140"/>
      <c r="K11" s="140"/>
      <c r="L11" s="147">
        <f>IFERROR(__xludf.DUMMYFUNCTION("""COMPUTED_VALUE"""),3009411.0)</f>
        <v>3009411</v>
      </c>
      <c r="M11" s="148" t="str">
        <f>IFERROR(__xludf.DUMMYFUNCTION("""COMPUTED_VALUE"""),"Sales Forecasting")</f>
        <v>Sales Forecasting</v>
      </c>
      <c r="N11" s="147" t="str">
        <f>IFERROR(__xludf.DUMMYFUNCTION("""COMPUTED_VALUE"""),"Manager")</f>
        <v>Manager</v>
      </c>
      <c r="O11" s="141" t="str">
        <f>IFERROR(__xludf.DUMMYFUNCTION("""COMPUTED_VALUE"""),"Intermediate")</f>
        <v>Intermediate</v>
      </c>
      <c r="P11" s="143">
        <f>IFERROR(__xludf.DUMMYFUNCTION("""COMPUTED_VALUE"""),0.03460648148148148)</f>
        <v>0.03460648148</v>
      </c>
      <c r="Q11" s="149" t="str">
        <f>IFERROR(__xludf.DUMMYFUNCTION("""COMPUTED_VALUE"""),"Develop Your Customer Service Skills")</f>
        <v>Develop Your Customer Service Skills</v>
      </c>
      <c r="R11" s="140"/>
      <c r="S11" s="140"/>
    </row>
    <row r="12" ht="33.75" customHeight="1">
      <c r="A12" s="140"/>
      <c r="B12" s="140"/>
      <c r="C12" s="147">
        <f>IFERROR(__xludf.DUMMYFUNCTION("""COMPUTED_VALUE"""),784283.0)</f>
        <v>784283</v>
      </c>
      <c r="D12" s="148" t="str">
        <f>IFERROR(__xludf.DUMMYFUNCTION("""COMPUTED_VALUE"""),"Managing in a Matrixed Organization")</f>
        <v>Managing in a Matrixed Organization</v>
      </c>
      <c r="E12" s="147" t="str">
        <f>IFERROR(__xludf.DUMMYFUNCTION("""COMPUTED_VALUE"""),"Manager")</f>
        <v>Manager</v>
      </c>
      <c r="F12" s="141" t="str">
        <f>IFERROR(__xludf.DUMMYFUNCTION("""COMPUTED_VALUE"""),"Intermediate")</f>
        <v>Intermediate</v>
      </c>
      <c r="G12" s="143">
        <f>IFERROR(__xludf.DUMMYFUNCTION("""COMPUTED_VALUE"""),0.028645833333333332)</f>
        <v>0.02864583333</v>
      </c>
      <c r="H12" s="149" t="str">
        <f>IFERROR(__xludf.DUMMYFUNCTION("""COMPUTED_VALUE"""),"Become a Product Manager")</f>
        <v>Become a Product Manager</v>
      </c>
      <c r="I12" s="140"/>
      <c r="J12" s="140"/>
      <c r="K12" s="140"/>
      <c r="L12" s="147">
        <f>IFERROR(__xludf.DUMMYFUNCTION("""COMPUTED_VALUE"""),2424509.0)</f>
        <v>2424509</v>
      </c>
      <c r="M12" s="148" t="str">
        <f>IFERROR(__xludf.DUMMYFUNCTION("""COMPUTED_VALUE"""),"Inside Sales: Managing Sales Rep Personas")</f>
        <v>Inside Sales: Managing Sales Rep Personas</v>
      </c>
      <c r="N12" s="147" t="str">
        <f>IFERROR(__xludf.DUMMYFUNCTION("""COMPUTED_VALUE"""),"Manager")</f>
        <v>Manager</v>
      </c>
      <c r="O12" s="141" t="str">
        <f>IFERROR(__xludf.DUMMYFUNCTION("""COMPUTED_VALUE"""),"Advanced")</f>
        <v>Advanced</v>
      </c>
      <c r="P12" s="143">
        <f>IFERROR(__xludf.DUMMYFUNCTION("""COMPUTED_VALUE"""),0.031469907407407405)</f>
        <v>0.03146990741</v>
      </c>
      <c r="Q12" s="149" t="str">
        <f>IFERROR(__xludf.DUMMYFUNCTION("""COMPUTED_VALUE"""),"Develop Your Sales Knowledge and Skills ")</f>
        <v>Develop Your Sales Knowledge and Skills </v>
      </c>
      <c r="R12" s="140"/>
      <c r="S12" s="140"/>
    </row>
    <row r="13" ht="33.75" customHeight="1">
      <c r="A13" s="140"/>
      <c r="B13" s="140"/>
      <c r="C13" s="147">
        <f>IFERROR(__xludf.DUMMYFUNCTION("""COMPUTED_VALUE"""),2874153.0)</f>
        <v>2874153</v>
      </c>
      <c r="D13" s="148" t="str">
        <f>IFERROR(__xludf.DUMMYFUNCTION("""COMPUTED_VALUE"""),"Agile Project Leadership")</f>
        <v>Agile Project Leadership</v>
      </c>
      <c r="E13" s="147" t="str">
        <f>IFERROR(__xludf.DUMMYFUNCTION("""COMPUTED_VALUE"""),"Manager")</f>
        <v>Manager</v>
      </c>
      <c r="F13" s="141" t="str">
        <f>IFERROR(__xludf.DUMMYFUNCTION("""COMPUTED_VALUE"""),"Intermediate")</f>
        <v>Intermediate</v>
      </c>
      <c r="G13" s="143">
        <f>IFERROR(__xludf.DUMMYFUNCTION("""COMPUTED_VALUE"""),0.028993055555555557)</f>
        <v>0.02899305556</v>
      </c>
      <c r="H13" s="158" t="str">
        <f>IFERROR(__xludf.DUMMYFUNCTION("""COMPUTED_VALUE"""),"Become a Program Manager")</f>
        <v>Become a Program Manager</v>
      </c>
      <c r="I13" s="140"/>
      <c r="J13" s="140"/>
      <c r="K13" s="140"/>
      <c r="L13" s="147">
        <f>IFERROR(__xludf.DUMMYFUNCTION("""COMPUTED_VALUE"""),2881016.0)</f>
        <v>2881016</v>
      </c>
      <c r="M13" s="148" t="str">
        <f>IFERROR(__xludf.DUMMYFUNCTION("""COMPUTED_VALUE"""),"The Neuroscience of Selling Remotely")</f>
        <v>The Neuroscience of Selling Remotely</v>
      </c>
      <c r="N13" s="147" t="str">
        <f>IFERROR(__xludf.DUMMYFUNCTION("""COMPUTED_VALUE"""),"Individual Contributor")</f>
        <v>Individual Contributor</v>
      </c>
      <c r="O13" s="141" t="str">
        <f>IFERROR(__xludf.DUMMYFUNCTION("""COMPUTED_VALUE"""),"Advanced")</f>
        <v>Advanced</v>
      </c>
      <c r="P13" s="143">
        <f>IFERROR(__xludf.DUMMYFUNCTION("""COMPUTED_VALUE"""),0.03706018518518518)</f>
        <v>0.03706018519</v>
      </c>
      <c r="Q13" s="158" t="str">
        <f>IFERROR(__xludf.DUMMYFUNCTION("""COMPUTED_VALUE"""),"Succeeding in Sales During Times of Volatility")</f>
        <v>Succeeding in Sales During Times of Volatility</v>
      </c>
      <c r="R13" s="140"/>
      <c r="S13" s="140"/>
    </row>
    <row r="14" ht="33.75" customHeight="1">
      <c r="A14" s="140"/>
      <c r="B14" s="140"/>
      <c r="C14" s="147">
        <f>IFERROR(__xludf.DUMMYFUNCTION("""COMPUTED_VALUE"""),784278.0)</f>
        <v>784278</v>
      </c>
      <c r="D14" s="148" t="str">
        <f>IFERROR(__xludf.DUMMYFUNCTION("""COMPUTED_VALUE"""),"Managing and Working with a Technical Team for Nontechnical Professionals")</f>
        <v>Managing and Working with a Technical Team for Nontechnical Professionals</v>
      </c>
      <c r="E14" s="147" t="str">
        <f>IFERROR(__xludf.DUMMYFUNCTION("""COMPUTED_VALUE"""),"Manager")</f>
        <v>Manager</v>
      </c>
      <c r="F14" s="141" t="str">
        <f>IFERROR(__xludf.DUMMYFUNCTION("""COMPUTED_VALUE"""),"General")</f>
        <v>General</v>
      </c>
      <c r="G14" s="143">
        <f>IFERROR(__xludf.DUMMYFUNCTION("""COMPUTED_VALUE"""),0.034444444444444444)</f>
        <v>0.03444444444</v>
      </c>
      <c r="H14" s="149" t="str">
        <f>IFERROR(__xludf.DUMMYFUNCTION("""COMPUTED_VALUE"""),"Become a Project Coordinator")</f>
        <v>Become a Project Coordinator</v>
      </c>
      <c r="I14" s="140"/>
      <c r="J14" s="140"/>
      <c r="K14" s="140"/>
      <c r="L14" s="147">
        <f>IFERROR(__xludf.DUMMYFUNCTION("""COMPUTED_VALUE"""),2886012.0)</f>
        <v>2886012</v>
      </c>
      <c r="M14" s="148" t="str">
        <f>IFERROR(__xludf.DUMMYFUNCTION("""COMPUTED_VALUE"""),"Microsoft Dynamics 365 Sales Essential Training")</f>
        <v>Microsoft Dynamics 365 Sales Essential Training</v>
      </c>
      <c r="N14" s="147" t="str">
        <f>IFERROR(__xludf.DUMMYFUNCTION("""COMPUTED_VALUE"""),"Individual Contributor")</f>
        <v>Individual Contributor</v>
      </c>
      <c r="O14" s="141" t="str">
        <f>IFERROR(__xludf.DUMMYFUNCTION("""COMPUTED_VALUE"""),"Beginner")</f>
        <v>Beginner</v>
      </c>
      <c r="P14" s="143">
        <f>IFERROR(__xludf.DUMMYFUNCTION("""COMPUTED_VALUE"""),0.08030092592592593)</f>
        <v>0.08030092593</v>
      </c>
      <c r="Q14" s="151"/>
      <c r="R14" s="140"/>
      <c r="S14" s="140"/>
    </row>
    <row r="15" ht="33.75" customHeight="1">
      <c r="A15" s="140"/>
      <c r="B15" s="140"/>
      <c r="C15" s="147">
        <f>IFERROR(__xludf.DUMMYFUNCTION("""COMPUTED_VALUE"""),2313157.0)</f>
        <v>2313157</v>
      </c>
      <c r="D15" s="148" t="str">
        <f>IFERROR(__xludf.DUMMYFUNCTION("""COMPUTED_VALUE"""),"Project Management: Choosing the Right Online Tool")</f>
        <v>Project Management: Choosing the Right Online Tool</v>
      </c>
      <c r="E15" s="147" t="str">
        <f>IFERROR(__xludf.DUMMYFUNCTION("""COMPUTED_VALUE"""),"Individual Contributor")</f>
        <v>Individual Contributor</v>
      </c>
      <c r="F15" s="141" t="str">
        <f>IFERROR(__xludf.DUMMYFUNCTION("""COMPUTED_VALUE"""),"Beginner")</f>
        <v>Beginner</v>
      </c>
      <c r="G15" s="143">
        <f>IFERROR(__xludf.DUMMYFUNCTION("""COMPUTED_VALUE"""),0.06967592592592593)</f>
        <v>0.06967592593</v>
      </c>
      <c r="H15" s="149" t="str">
        <f>IFERROR(__xludf.DUMMYFUNCTION("""COMPUTED_VALUE"""),"Become a Project Manager")</f>
        <v>Become a Project Manager</v>
      </c>
      <c r="I15" s="140"/>
      <c r="J15" s="140"/>
      <c r="K15" s="140"/>
      <c r="L15" s="147">
        <f>IFERROR(__xludf.DUMMYFUNCTION("""COMPUTED_VALUE"""),2870132.0)</f>
        <v>2870132</v>
      </c>
      <c r="M15" s="148" t="str">
        <f>IFERROR(__xludf.DUMMYFUNCTION("""COMPUTED_VALUE"""),"Salesforce Essential Training")</f>
        <v>Salesforce Essential Training</v>
      </c>
      <c r="N15" s="147" t="str">
        <f>IFERROR(__xludf.DUMMYFUNCTION("""COMPUTED_VALUE"""),"Individual Contributor")</f>
        <v>Individual Contributor</v>
      </c>
      <c r="O15" s="141" t="str">
        <f>IFERROR(__xludf.DUMMYFUNCTION("""COMPUTED_VALUE"""),"Beginner")</f>
        <v>Beginner</v>
      </c>
      <c r="P15" s="143">
        <f>IFERROR(__xludf.DUMMYFUNCTION("""COMPUTED_VALUE"""),0.05201388888888889)</f>
        <v>0.05201388889</v>
      </c>
      <c r="Q15" s="151"/>
      <c r="R15" s="140"/>
      <c r="S15" s="140"/>
    </row>
    <row r="16" ht="33.75" customHeight="1">
      <c r="A16" s="140"/>
      <c r="B16" s="140"/>
      <c r="C16" s="147">
        <f>IFERROR(__xludf.DUMMYFUNCTION("""COMPUTED_VALUE"""),2875380.0)</f>
        <v>2875380</v>
      </c>
      <c r="D16" s="148" t="str">
        <f>IFERROR(__xludf.DUMMYFUNCTION("""COMPUTED_VALUE"""),"Project Management Foundations: Lessons Learned")</f>
        <v>Project Management Foundations: Lessons Learned</v>
      </c>
      <c r="E16" s="147" t="str">
        <f>IFERROR(__xludf.DUMMYFUNCTION("""COMPUTED_VALUE"""),"Individual Contributor")</f>
        <v>Individual Contributor</v>
      </c>
      <c r="F16" s="141" t="str">
        <f>IFERROR(__xludf.DUMMYFUNCTION("""COMPUTED_VALUE"""),"Beginner")</f>
        <v>Beginner</v>
      </c>
      <c r="G16" s="143">
        <f>IFERROR(__xludf.DUMMYFUNCTION("""COMPUTED_VALUE"""),0.02021990740740741)</f>
        <v>0.02021990741</v>
      </c>
      <c r="H16" s="149" t="str">
        <f>IFERROR(__xludf.DUMMYFUNCTION("""COMPUTED_VALUE"""),"Become a Project Scheduler")</f>
        <v>Become a Project Scheduler</v>
      </c>
      <c r="I16" s="140"/>
      <c r="J16" s="140"/>
      <c r="K16" s="140"/>
      <c r="L16" s="147">
        <f>IFERROR(__xludf.DUMMYFUNCTION("""COMPUTED_VALUE"""),2427402.0)</f>
        <v>2427402</v>
      </c>
      <c r="M16" s="148" t="str">
        <f>IFERROR(__xludf.DUMMYFUNCTION("""COMPUTED_VALUE"""),"Purpose-Driven Sales")</f>
        <v>Purpose-Driven Sales</v>
      </c>
      <c r="N16" s="147" t="str">
        <f>IFERROR(__xludf.DUMMYFUNCTION("""COMPUTED_VALUE"""),"Individual Contributor")</f>
        <v>Individual Contributor</v>
      </c>
      <c r="O16" s="141" t="str">
        <f>IFERROR(__xludf.DUMMYFUNCTION("""COMPUTED_VALUE"""),"Beginner")</f>
        <v>Beginner</v>
      </c>
      <c r="P16" s="143">
        <f>IFERROR(__xludf.DUMMYFUNCTION("""COMPUTED_VALUE"""),0.034270833333333334)</f>
        <v>0.03427083333</v>
      </c>
      <c r="Q16" s="151"/>
      <c r="R16" s="140"/>
      <c r="S16" s="140"/>
    </row>
    <row r="17" ht="33.75" customHeight="1">
      <c r="A17" s="140"/>
      <c r="B17" s="140"/>
      <c r="C17" s="147">
        <f>IFERROR(__xludf.DUMMYFUNCTION("""COMPUTED_VALUE"""),2841523.0)</f>
        <v>2841523</v>
      </c>
      <c r="D17" s="148" t="str">
        <f>IFERROR(__xludf.DUMMYFUNCTION("""COMPUTED_VALUE"""),"Job Interview Tips for Project Managers")</f>
        <v>Job Interview Tips for Project Managers</v>
      </c>
      <c r="E17" s="147" t="str">
        <f>IFERROR(__xludf.DUMMYFUNCTION("""COMPUTED_VALUE"""),"Individual Contributor")</f>
        <v>Individual Contributor</v>
      </c>
      <c r="F17" s="141" t="str">
        <f>IFERROR(__xludf.DUMMYFUNCTION("""COMPUTED_VALUE"""),"Beginner")</f>
        <v>Beginner</v>
      </c>
      <c r="G17" s="143">
        <f>IFERROR(__xludf.DUMMYFUNCTION("""COMPUTED_VALUE"""),0.023726851851851853)</f>
        <v>0.02372685185</v>
      </c>
      <c r="H17" s="149" t="str">
        <f>IFERROR(__xludf.DUMMYFUNCTION("""COMPUTED_VALUE"""),"Become a Six Sigma Black Belt")</f>
        <v>Become a Six Sigma Black Belt</v>
      </c>
      <c r="I17" s="140"/>
      <c r="J17" s="140"/>
      <c r="K17" s="140"/>
      <c r="L17" s="147">
        <f>IFERROR(__xludf.DUMMYFUNCTION("""COMPUTED_VALUE"""),2447221.0)</f>
        <v>2447221</v>
      </c>
      <c r="M17" s="148" t="str">
        <f>IFERROR(__xludf.DUMMYFUNCTION("""COMPUTED_VALUE"""),"3 Simple Steps to the Perfect Sales Pitch")</f>
        <v>3 Simple Steps to the Perfect Sales Pitch</v>
      </c>
      <c r="N17" s="147" t="str">
        <f>IFERROR(__xludf.DUMMYFUNCTION("""COMPUTED_VALUE"""),"Individual Contributor")</f>
        <v>Individual Contributor</v>
      </c>
      <c r="O17" s="141" t="str">
        <f>IFERROR(__xludf.DUMMYFUNCTION("""COMPUTED_VALUE"""),"Beginner")</f>
        <v>Beginner</v>
      </c>
      <c r="P17" s="143">
        <f>IFERROR(__xludf.DUMMYFUNCTION("""COMPUTED_VALUE"""),0.033587962962962965)</f>
        <v>0.03358796296</v>
      </c>
      <c r="Q17" s="151"/>
      <c r="R17" s="140"/>
      <c r="S17" s="140"/>
    </row>
    <row r="18" ht="33.75" customHeight="1">
      <c r="A18" s="140"/>
      <c r="B18" s="140"/>
      <c r="C18" s="147">
        <f>IFERROR(__xludf.DUMMYFUNCTION("""COMPUTED_VALUE"""),3004944.0)</f>
        <v>3004944</v>
      </c>
      <c r="D18" s="148" t="str">
        <f>IFERROR(__xludf.DUMMYFUNCTION("""COMPUTED_VALUE"""),"Business Analysis Foundations: Enterprise")</f>
        <v>Business Analysis Foundations: Enterprise</v>
      </c>
      <c r="E18" s="147" t="str">
        <f>IFERROR(__xludf.DUMMYFUNCTION("""COMPUTED_VALUE"""),"Individual Contributor")</f>
        <v>Individual Contributor</v>
      </c>
      <c r="F18" s="141" t="str">
        <f>IFERROR(__xludf.DUMMYFUNCTION("""COMPUTED_VALUE"""),"Beginner + Intermediate")</f>
        <v>Beginner + Intermediate</v>
      </c>
      <c r="G18" s="143">
        <f>IFERROR(__xludf.DUMMYFUNCTION("""COMPUTED_VALUE"""),0.03591435185185185)</f>
        <v>0.03591435185</v>
      </c>
      <c r="H18" s="149" t="str">
        <f>IFERROR(__xludf.DUMMYFUNCTION("""COMPUTED_VALUE"""),"Become a Six Sigma Green Belt")</f>
        <v>Become a Six Sigma Green Belt</v>
      </c>
      <c r="I18" s="140"/>
      <c r="J18" s="140"/>
      <c r="K18" s="140"/>
      <c r="L18" s="147">
        <f>IFERROR(__xludf.DUMMYFUNCTION("""COMPUTED_VALUE"""),3011322.0)</f>
        <v>3011322</v>
      </c>
      <c r="M18" s="148" t="str">
        <f>IFERROR(__xludf.DUMMYFUNCTION("""COMPUTED_VALUE"""),"Sales: Precall Prep for Virtual or In-Person Deals")</f>
        <v>Sales: Precall Prep for Virtual or In-Person Deals</v>
      </c>
      <c r="N18" s="147" t="str">
        <f>IFERROR(__xludf.DUMMYFUNCTION("""COMPUTED_VALUE"""),"Individual Contributor")</f>
        <v>Individual Contributor</v>
      </c>
      <c r="O18" s="141" t="str">
        <f>IFERROR(__xludf.DUMMYFUNCTION("""COMPUTED_VALUE"""),"Intermediate")</f>
        <v>Intermediate</v>
      </c>
      <c r="P18" s="143">
        <f>IFERROR(__xludf.DUMMYFUNCTION("""COMPUTED_VALUE"""),0.026261574074074073)</f>
        <v>0.02626157407</v>
      </c>
      <c r="Q18" s="151"/>
      <c r="R18" s="140"/>
      <c r="S18" s="140"/>
    </row>
    <row r="19" ht="33.75" customHeight="1">
      <c r="A19" s="140"/>
      <c r="B19" s="140"/>
      <c r="C19" s="147">
        <f>IFERROR(__xludf.DUMMYFUNCTION("""COMPUTED_VALUE"""),2806962.0)</f>
        <v>2806962</v>
      </c>
      <c r="D19" s="148" t="str">
        <f>IFERROR(__xludf.DUMMYFUNCTION("""COMPUTED_VALUE"""),"Complex Project Tips and Tricks")</f>
        <v>Complex Project Tips and Tricks</v>
      </c>
      <c r="E19" s="147" t="str">
        <f>IFERROR(__xludf.DUMMYFUNCTION("""COMPUTED_VALUE"""),"General")</f>
        <v>General</v>
      </c>
      <c r="F19" s="141" t="str">
        <f>IFERROR(__xludf.DUMMYFUNCTION("""COMPUTED_VALUE"""),"Advanced")</f>
        <v>Advanced</v>
      </c>
      <c r="G19" s="143">
        <f>IFERROR(__xludf.DUMMYFUNCTION("""COMPUTED_VALUE"""),0.009189814814814816)</f>
        <v>0.009189814815</v>
      </c>
      <c r="H19" s="149" t="str">
        <f>IFERROR(__xludf.DUMMYFUNCTION("""COMPUTED_VALUE"""),"Become a Six Sigma Yellow Belt")</f>
        <v>Become a Six Sigma Yellow Belt</v>
      </c>
      <c r="I19" s="140"/>
      <c r="J19" s="140"/>
      <c r="K19" s="140"/>
      <c r="L19" s="147">
        <f>IFERROR(__xludf.DUMMYFUNCTION("""COMPUTED_VALUE"""),2425482.0)</f>
        <v>2425482</v>
      </c>
      <c r="M19" s="148" t="str">
        <f>IFERROR(__xludf.DUMMYFUNCTION("""COMPUTED_VALUE"""),"Inside Sales")</f>
        <v>Inside Sales</v>
      </c>
      <c r="N19" s="147" t="str">
        <f>IFERROR(__xludf.DUMMYFUNCTION("""COMPUTED_VALUE"""),"Individual Contributor")</f>
        <v>Individual Contributor</v>
      </c>
      <c r="O19" s="141" t="str">
        <f>IFERROR(__xludf.DUMMYFUNCTION("""COMPUTED_VALUE"""),"Intermediate")</f>
        <v>Intermediate</v>
      </c>
      <c r="P19" s="143">
        <f>IFERROR(__xludf.DUMMYFUNCTION("""COMPUTED_VALUE"""),0.029409722222222223)</f>
        <v>0.02940972222</v>
      </c>
      <c r="Q19" s="151"/>
      <c r="R19" s="140"/>
      <c r="S19" s="140"/>
    </row>
    <row r="20" ht="33.75" customHeight="1">
      <c r="A20" s="140"/>
      <c r="B20" s="140"/>
      <c r="C20" s="147">
        <f>IFERROR(__xludf.DUMMYFUNCTION("""COMPUTED_VALUE"""),2824370.0)</f>
        <v>2824370</v>
      </c>
      <c r="D20" s="148" t="str">
        <f>IFERROR(__xludf.DUMMYFUNCTION("""COMPUTED_VALUE"""),"Project Management for Creative Projects")</f>
        <v>Project Management for Creative Projects</v>
      </c>
      <c r="E20" s="147" t="str">
        <f>IFERROR(__xludf.DUMMYFUNCTION("""COMPUTED_VALUE"""),"General")</f>
        <v>General</v>
      </c>
      <c r="F20" s="141" t="str">
        <f>IFERROR(__xludf.DUMMYFUNCTION("""COMPUTED_VALUE"""),"Advanced")</f>
        <v>Advanced</v>
      </c>
      <c r="G20" s="143">
        <f>IFERROR(__xludf.DUMMYFUNCTION("""COMPUTED_VALUE"""),0.11922453703703703)</f>
        <v>0.119224537</v>
      </c>
      <c r="H20" s="149" t="str">
        <f>IFERROR(__xludf.DUMMYFUNCTION("""COMPUTED_VALUE"""),"Become a Software Project Manager")</f>
        <v>Become a Software Project Manager</v>
      </c>
      <c r="I20" s="140"/>
      <c r="J20" s="140"/>
      <c r="K20" s="140"/>
      <c r="L20" s="147">
        <f>IFERROR(__xludf.DUMMYFUNCTION("""COMPUTED_VALUE"""),2880279.0)</f>
        <v>2880279</v>
      </c>
      <c r="M20" s="148" t="str">
        <f>IFERROR(__xludf.DUMMYFUNCTION("""COMPUTED_VALUE"""),"Sales Strategies and Approaches in a New World of Selling")</f>
        <v>Sales Strategies and Approaches in a New World of Selling</v>
      </c>
      <c r="N20" s="147" t="str">
        <f>IFERROR(__xludf.DUMMYFUNCTION("""COMPUTED_VALUE"""),"Individual Contributor")</f>
        <v>Individual Contributor</v>
      </c>
      <c r="O20" s="141" t="str">
        <f>IFERROR(__xludf.DUMMYFUNCTION("""COMPUTED_VALUE"""),"Intermediate")</f>
        <v>Intermediate</v>
      </c>
      <c r="P20" s="143">
        <f>IFERROR(__xludf.DUMMYFUNCTION("""COMPUTED_VALUE"""),0.024988425925925924)</f>
        <v>0.02498842593</v>
      </c>
      <c r="Q20" s="151"/>
      <c r="R20" s="140"/>
      <c r="S20" s="140"/>
    </row>
    <row r="21" ht="33.75" customHeight="1">
      <c r="A21" s="140"/>
      <c r="B21" s="140"/>
      <c r="C21" s="147">
        <f>IFERROR(__xludf.DUMMYFUNCTION("""COMPUTED_VALUE"""),2825403.0)</f>
        <v>2825403</v>
      </c>
      <c r="D21" s="148" t="str">
        <f>IFERROR(__xludf.DUMMYFUNCTION("""COMPUTED_VALUE"""),"Becoming an Agile Coach")</f>
        <v>Becoming an Agile Coach</v>
      </c>
      <c r="E21" s="147" t="str">
        <f>IFERROR(__xludf.DUMMYFUNCTION("""COMPUTED_VALUE"""),"General")</f>
        <v>General</v>
      </c>
      <c r="F21" s="141" t="str">
        <f>IFERROR(__xludf.DUMMYFUNCTION("""COMPUTED_VALUE"""),"Advanced")</f>
        <v>Advanced</v>
      </c>
      <c r="G21" s="143">
        <f>IFERROR(__xludf.DUMMYFUNCTION("""COMPUTED_VALUE"""),0.03212962962962963)</f>
        <v>0.03212962963</v>
      </c>
      <c r="H21" s="149" t="str">
        <f>IFERROR(__xludf.DUMMYFUNCTION("""COMPUTED_VALUE"""),"Become a Supply Chain Manager")</f>
        <v>Become a Supply Chain Manager</v>
      </c>
      <c r="I21" s="140"/>
      <c r="J21" s="140"/>
      <c r="K21" s="140"/>
      <c r="L21" s="147">
        <f>IFERROR(__xludf.DUMMYFUNCTION("""COMPUTED_VALUE"""),2825692.0)</f>
        <v>2825692</v>
      </c>
      <c r="M21" s="148" t="str">
        <f>IFERROR(__xludf.DUMMYFUNCTION("""COMPUTED_VALUE"""),"Inclusive Selling: Selling Across Culture, Race, and Gender Differences")</f>
        <v>Inclusive Selling: Selling Across Culture, Race, and Gender Differences</v>
      </c>
      <c r="N21" s="147" t="str">
        <f>IFERROR(__xludf.DUMMYFUNCTION("""COMPUTED_VALUE"""),"Individual Contributor")</f>
        <v>Individual Contributor</v>
      </c>
      <c r="O21" s="141" t="str">
        <f>IFERROR(__xludf.DUMMYFUNCTION("""COMPUTED_VALUE"""),"Intermediate")</f>
        <v>Intermediate</v>
      </c>
      <c r="P21" s="143">
        <f>IFERROR(__xludf.DUMMYFUNCTION("""COMPUTED_VALUE"""),0.03408564814814815)</f>
        <v>0.03408564815</v>
      </c>
      <c r="Q21" s="151"/>
      <c r="R21" s="140"/>
      <c r="S21" s="140"/>
    </row>
    <row r="22" ht="33.75" customHeight="1">
      <c r="A22" s="140"/>
      <c r="B22" s="140"/>
      <c r="C22" s="147">
        <f>IFERROR(__xludf.DUMMYFUNCTION("""COMPUTED_VALUE"""),756288.0)</f>
        <v>756288</v>
      </c>
      <c r="D22" s="148" t="str">
        <f>IFERROR(__xludf.DUMMYFUNCTION("""COMPUTED_VALUE"""),"Project Management Foundations: Integration")</f>
        <v>Project Management Foundations: Integration</v>
      </c>
      <c r="E22" s="147" t="str">
        <f>IFERROR(__xludf.DUMMYFUNCTION("""COMPUTED_VALUE"""),"General")</f>
        <v>General</v>
      </c>
      <c r="F22" s="141" t="str">
        <f>IFERROR(__xludf.DUMMYFUNCTION("""COMPUTED_VALUE"""),"Beginner")</f>
        <v>Beginner</v>
      </c>
      <c r="G22" s="143">
        <f>IFERROR(__xludf.DUMMYFUNCTION("""COMPUTED_VALUE"""),0.030844907407407408)</f>
        <v>0.03084490741</v>
      </c>
      <c r="H22" s="149" t="str">
        <f>IFERROR(__xludf.DUMMYFUNCTION("""COMPUTED_VALUE"""),"Become a Technical Program Manager")</f>
        <v>Become a Technical Program Manager</v>
      </c>
      <c r="I22" s="140"/>
      <c r="J22" s="140"/>
      <c r="K22" s="140"/>
      <c r="L22" s="147">
        <f>IFERROR(__xludf.DUMMYFUNCTION("""COMPUTED_VALUE"""),2422439.0)</f>
        <v>2422439</v>
      </c>
      <c r="M22" s="148" t="str">
        <f>IFERROR(__xludf.DUMMYFUNCTION("""COMPUTED_VALUE"""),"Delivering a Great Virtual Sales Pitch")</f>
        <v>Delivering a Great Virtual Sales Pitch</v>
      </c>
      <c r="N22" s="147" t="str">
        <f>IFERROR(__xludf.DUMMYFUNCTION("""COMPUTED_VALUE"""),"Individual Contributor")</f>
        <v>Individual Contributor</v>
      </c>
      <c r="O22" s="141" t="str">
        <f>IFERROR(__xludf.DUMMYFUNCTION("""COMPUTED_VALUE"""),"Intermediate")</f>
        <v>Intermediate</v>
      </c>
      <c r="P22" s="143">
        <f>IFERROR(__xludf.DUMMYFUNCTION("""COMPUTED_VALUE"""),0.02380787037037037)</f>
        <v>0.02380787037</v>
      </c>
      <c r="Q22" s="151"/>
      <c r="R22" s="140"/>
      <c r="S22" s="140"/>
    </row>
    <row r="23" ht="33.75" customHeight="1">
      <c r="A23" s="140"/>
      <c r="B23" s="140"/>
      <c r="C23" s="147">
        <f>IFERROR(__xludf.DUMMYFUNCTION("""COMPUTED_VALUE"""),612167.0)</f>
        <v>612167</v>
      </c>
      <c r="D23" s="148" t="str">
        <f>IFERROR(__xludf.DUMMYFUNCTION("""COMPUTED_VALUE"""),"Project Management Foundations: Small Projects")</f>
        <v>Project Management Foundations: Small Projects</v>
      </c>
      <c r="E23" s="147" t="str">
        <f>IFERROR(__xludf.DUMMYFUNCTION("""COMPUTED_VALUE"""),"General")</f>
        <v>General</v>
      </c>
      <c r="F23" s="141" t="str">
        <f>IFERROR(__xludf.DUMMYFUNCTION("""COMPUTED_VALUE"""),"Beginner")</f>
        <v>Beginner</v>
      </c>
      <c r="G23" s="143">
        <f>IFERROR(__xludf.DUMMYFUNCTION("""COMPUTED_VALUE"""),0.06199074074074074)</f>
        <v>0.06199074074</v>
      </c>
      <c r="H23" s="149" t="str">
        <f>IFERROR(__xludf.DUMMYFUNCTION("""COMPUTED_VALUE"""),"Develop Your Project Management Skills ")</f>
        <v>Develop Your Project Management Skills </v>
      </c>
      <c r="I23" s="140"/>
      <c r="J23" s="140"/>
      <c r="K23" s="140"/>
      <c r="L23" s="147">
        <f>IFERROR(__xludf.DUMMYFUNCTION("""COMPUTED_VALUE"""),193708.0)</f>
        <v>193708</v>
      </c>
      <c r="M23" s="148" t="str">
        <f>IFERROR(__xludf.DUMMYFUNCTION("""COMPUTED_VALUE"""),"Sales Foundations")</f>
        <v>Sales Foundations</v>
      </c>
      <c r="N23" s="147" t="str">
        <f>IFERROR(__xludf.DUMMYFUNCTION("""COMPUTED_VALUE"""),"General")</f>
        <v>General</v>
      </c>
      <c r="O23" s="141" t="str">
        <f>IFERROR(__xludf.DUMMYFUNCTION("""COMPUTED_VALUE"""),"Beginner")</f>
        <v>Beginner</v>
      </c>
      <c r="P23" s="143">
        <f>IFERROR(__xludf.DUMMYFUNCTION("""COMPUTED_VALUE"""),0.03832175925925926)</f>
        <v>0.03832175926</v>
      </c>
      <c r="Q23" s="151"/>
      <c r="R23" s="140"/>
      <c r="S23" s="140"/>
    </row>
    <row r="24" ht="33.75" customHeight="1">
      <c r="A24" s="140"/>
      <c r="B24" s="140"/>
      <c r="C24" s="147">
        <f>IFERROR(__xludf.DUMMYFUNCTION("""COMPUTED_VALUE"""),724785.0)</f>
        <v>724785</v>
      </c>
      <c r="D24" s="148" t="str">
        <f>IFERROR(__xludf.DUMMYFUNCTION("""COMPUTED_VALUE"""),"Project Management: Preventing Scope Creep")</f>
        <v>Project Management: Preventing Scope Creep</v>
      </c>
      <c r="E24" s="147" t="str">
        <f>IFERROR(__xludf.DUMMYFUNCTION("""COMPUTED_VALUE"""),"General")</f>
        <v>General</v>
      </c>
      <c r="F24" s="141" t="str">
        <f>IFERROR(__xludf.DUMMYFUNCTION("""COMPUTED_VALUE"""),"Beginner")</f>
        <v>Beginner</v>
      </c>
      <c r="G24" s="143">
        <f>IFERROR(__xludf.DUMMYFUNCTION("""COMPUTED_VALUE"""),0.023622685185185184)</f>
        <v>0.02362268519</v>
      </c>
      <c r="H24" s="149" t="str">
        <f>IFERROR(__xludf.DUMMYFUNCTION("""COMPUTED_VALUE"""),"Improve Your Business Analysis Skills")</f>
        <v>Improve Your Business Analysis Skills</v>
      </c>
      <c r="I24" s="140"/>
      <c r="J24" s="140"/>
      <c r="K24" s="140"/>
      <c r="L24" s="147">
        <f>IFERROR(__xludf.DUMMYFUNCTION("""COMPUTED_VALUE"""),651189.0)</f>
        <v>651189</v>
      </c>
      <c r="M24" s="148" t="str">
        <f>IFERROR(__xludf.DUMMYFUNCTION("""COMPUTED_VALUE"""),"Networking for Sales Professionals")</f>
        <v>Networking for Sales Professionals</v>
      </c>
      <c r="N24" s="147" t="str">
        <f>IFERROR(__xludf.DUMMYFUNCTION("""COMPUTED_VALUE"""),"General")</f>
        <v>General</v>
      </c>
      <c r="O24" s="141" t="str">
        <f>IFERROR(__xludf.DUMMYFUNCTION("""COMPUTED_VALUE"""),"Beginner")</f>
        <v>Beginner</v>
      </c>
      <c r="P24" s="143">
        <f>IFERROR(__xludf.DUMMYFUNCTION("""COMPUTED_VALUE"""),0.038657407407407404)</f>
        <v>0.03865740741</v>
      </c>
      <c r="Q24" s="151"/>
      <c r="R24" s="140"/>
      <c r="S24" s="140"/>
    </row>
    <row r="25" ht="33.75" customHeight="1">
      <c r="A25" s="140"/>
      <c r="B25" s="140"/>
      <c r="C25" s="147">
        <f>IFERROR(__xludf.DUMMYFUNCTION("""COMPUTED_VALUE"""),5034166.0)</f>
        <v>5034166</v>
      </c>
      <c r="D25" s="148" t="str">
        <f>IFERROR(__xludf.DUMMYFUNCTION("""COMPUTED_VALUE"""),"Project Management Foundations: Ethics")</f>
        <v>Project Management Foundations: Ethics</v>
      </c>
      <c r="E25" s="147" t="str">
        <f>IFERROR(__xludf.DUMMYFUNCTION("""COMPUTED_VALUE"""),"General")</f>
        <v>General</v>
      </c>
      <c r="F25" s="141" t="str">
        <f>IFERROR(__xludf.DUMMYFUNCTION("""COMPUTED_VALUE"""),"Beginner")</f>
        <v>Beginner</v>
      </c>
      <c r="G25" s="143">
        <f>IFERROR(__xludf.DUMMYFUNCTION("""COMPUTED_VALUE"""),0.04976851851851852)</f>
        <v>0.04976851852</v>
      </c>
      <c r="H25" s="149" t="str">
        <f>IFERROR(__xludf.DUMMYFUNCTION("""COMPUTED_VALUE"""),"Prepare for the PMI ACP Certification")</f>
        <v>Prepare for the PMI ACP Certification</v>
      </c>
      <c r="I25" s="140"/>
      <c r="J25" s="140"/>
      <c r="K25" s="140"/>
      <c r="L25" s="147">
        <f>IFERROR(__xludf.DUMMYFUNCTION("""COMPUTED_VALUE"""),802826.0)</f>
        <v>802826</v>
      </c>
      <c r="M25" s="148" t="str">
        <f>IFERROR(__xludf.DUMMYFUNCTION("""COMPUTED_VALUE"""),"Following Up after a Sales Meeting")</f>
        <v>Following Up after a Sales Meeting</v>
      </c>
      <c r="N25" s="147" t="str">
        <f>IFERROR(__xludf.DUMMYFUNCTION("""COMPUTED_VALUE"""),"General")</f>
        <v>General</v>
      </c>
      <c r="O25" s="141" t="str">
        <f>IFERROR(__xludf.DUMMYFUNCTION("""COMPUTED_VALUE"""),"Beginner")</f>
        <v>Beginner</v>
      </c>
      <c r="P25" s="143">
        <f>IFERROR(__xludf.DUMMYFUNCTION("""COMPUTED_VALUE"""),0.03302083333333333)</f>
        <v>0.03302083333</v>
      </c>
      <c r="Q25" s="151"/>
      <c r="R25" s="140"/>
      <c r="S25" s="140"/>
    </row>
    <row r="26" ht="33.75" customHeight="1">
      <c r="A26" s="140"/>
      <c r="B26" s="140"/>
      <c r="C26" s="147">
        <f>IFERROR(__xludf.DUMMYFUNCTION("""COMPUTED_VALUE"""),5043072.0)</f>
        <v>5043072</v>
      </c>
      <c r="D26" s="148" t="str">
        <f>IFERROR(__xludf.DUMMYFUNCTION("""COMPUTED_VALUE"""),"Skilled Trades: Resumes and Portfolios")</f>
        <v>Skilled Trades: Resumes and Portfolios</v>
      </c>
      <c r="E26" s="147" t="str">
        <f>IFERROR(__xludf.DUMMYFUNCTION("""COMPUTED_VALUE"""),"General")</f>
        <v>General</v>
      </c>
      <c r="F26" s="141" t="str">
        <f>IFERROR(__xludf.DUMMYFUNCTION("""COMPUTED_VALUE"""),"Beginner")</f>
        <v>Beginner</v>
      </c>
      <c r="G26" s="143">
        <f>IFERROR(__xludf.DUMMYFUNCTION("""COMPUTED_VALUE"""),0.013333333333333334)</f>
        <v>0.01333333333</v>
      </c>
      <c r="H26" s="149" t="str">
        <f>IFERROR(__xludf.DUMMYFUNCTION("""COMPUTED_VALUE"""),"Stay Ahead in Construction Management")</f>
        <v>Stay Ahead in Construction Management</v>
      </c>
      <c r="I26" s="140"/>
      <c r="J26" s="140"/>
      <c r="K26" s="140"/>
      <c r="L26" s="147">
        <f>IFERROR(__xludf.DUMMYFUNCTION("""COMPUTED_VALUE"""),2807101.0)</f>
        <v>2807101</v>
      </c>
      <c r="M26" s="148" t="str">
        <f>IFERROR(__xludf.DUMMYFUNCTION("""COMPUTED_VALUE"""),"Sales Discovery")</f>
        <v>Sales Discovery</v>
      </c>
      <c r="N26" s="147" t="str">
        <f>IFERROR(__xludf.DUMMYFUNCTION("""COMPUTED_VALUE"""),"General")</f>
        <v>General</v>
      </c>
      <c r="O26" s="141" t="str">
        <f>IFERROR(__xludf.DUMMYFUNCTION("""COMPUTED_VALUE"""),"Beginner")</f>
        <v>Beginner</v>
      </c>
      <c r="P26" s="143">
        <f>IFERROR(__xludf.DUMMYFUNCTION("""COMPUTED_VALUE"""),0.02761574074074074)</f>
        <v>0.02761574074</v>
      </c>
      <c r="Q26" s="151"/>
      <c r="R26" s="140"/>
      <c r="S26" s="140"/>
    </row>
    <row r="27" ht="33.75" customHeight="1">
      <c r="A27" s="140"/>
      <c r="B27" s="140"/>
      <c r="C27" s="147">
        <f>IFERROR(__xludf.DUMMYFUNCTION("""COMPUTED_VALUE"""),2253159.0)</f>
        <v>2253159</v>
      </c>
      <c r="D27" s="148" t="str">
        <f>IFERROR(__xludf.DUMMYFUNCTION("""COMPUTED_VALUE"""),"Project Management Foundations: Requirements")</f>
        <v>Project Management Foundations: Requirements</v>
      </c>
      <c r="E27" s="147" t="str">
        <f>IFERROR(__xludf.DUMMYFUNCTION("""COMPUTED_VALUE"""),"General")</f>
        <v>General</v>
      </c>
      <c r="F27" s="141" t="str">
        <f>IFERROR(__xludf.DUMMYFUNCTION("""COMPUTED_VALUE"""),"Beginner")</f>
        <v>Beginner</v>
      </c>
      <c r="G27" s="143">
        <f>IFERROR(__xludf.DUMMYFUNCTION("""COMPUTED_VALUE"""),0.018969907407407408)</f>
        <v>0.01896990741</v>
      </c>
      <c r="H27" s="151"/>
      <c r="I27" s="140"/>
      <c r="J27" s="140"/>
      <c r="K27" s="140"/>
      <c r="L27" s="147">
        <f>IFERROR(__xludf.DUMMYFUNCTION("""COMPUTED_VALUE"""),2815116.0)</f>
        <v>2815116</v>
      </c>
      <c r="M27" s="148" t="str">
        <f>IFERROR(__xludf.DUMMYFUNCTION("""COMPUTED_VALUE"""),"Social Selling Foundations")</f>
        <v>Social Selling Foundations</v>
      </c>
      <c r="N27" s="147" t="str">
        <f>IFERROR(__xludf.DUMMYFUNCTION("""COMPUTED_VALUE"""),"General")</f>
        <v>General</v>
      </c>
      <c r="O27" s="141" t="str">
        <f>IFERROR(__xludf.DUMMYFUNCTION("""COMPUTED_VALUE"""),"Beginner")</f>
        <v>Beginner</v>
      </c>
      <c r="P27" s="143">
        <f>IFERROR(__xludf.DUMMYFUNCTION("""COMPUTED_VALUE"""),0.026678240740740742)</f>
        <v>0.02667824074</v>
      </c>
      <c r="Q27" s="151"/>
      <c r="R27" s="140"/>
      <c r="S27" s="140"/>
    </row>
    <row r="28" ht="33.75" customHeight="1">
      <c r="A28" s="140"/>
      <c r="B28" s="140"/>
      <c r="C28" s="147">
        <f>IFERROR(__xludf.DUMMYFUNCTION("""COMPUTED_VALUE"""),2254037.0)</f>
        <v>2254037</v>
      </c>
      <c r="D28" s="148" t="str">
        <f>IFERROR(__xludf.DUMMYFUNCTION("""COMPUTED_VALUE"""),"Project Management Foundations: Teams")</f>
        <v>Project Management Foundations: Teams</v>
      </c>
      <c r="E28" s="147" t="str">
        <f>IFERROR(__xludf.DUMMYFUNCTION("""COMPUTED_VALUE"""),"General")</f>
        <v>General</v>
      </c>
      <c r="F28" s="141" t="str">
        <f>IFERROR(__xludf.DUMMYFUNCTION("""COMPUTED_VALUE"""),"Beginner")</f>
        <v>Beginner</v>
      </c>
      <c r="G28" s="143">
        <f>IFERROR(__xludf.DUMMYFUNCTION("""COMPUTED_VALUE"""),0.018287037037037036)</f>
        <v>0.01828703704</v>
      </c>
      <c r="H28" s="151"/>
      <c r="I28" s="140"/>
      <c r="J28" s="140"/>
      <c r="K28" s="140"/>
      <c r="L28" s="147">
        <f>IFERROR(__xludf.DUMMYFUNCTION("""COMPUTED_VALUE"""),2822580.0)</f>
        <v>2822580</v>
      </c>
      <c r="M28" s="148" t="str">
        <f>IFERROR(__xludf.DUMMYFUNCTION("""COMPUTED_VALUE"""),"Customer Success Management Fundamentals")</f>
        <v>Customer Success Management Fundamentals</v>
      </c>
      <c r="N28" s="147" t="str">
        <f>IFERROR(__xludf.DUMMYFUNCTION("""COMPUTED_VALUE"""),"General")</f>
        <v>General</v>
      </c>
      <c r="O28" s="141" t="str">
        <f>IFERROR(__xludf.DUMMYFUNCTION("""COMPUTED_VALUE"""),"Beginner")</f>
        <v>Beginner</v>
      </c>
      <c r="P28" s="143">
        <f>IFERROR(__xludf.DUMMYFUNCTION("""COMPUTED_VALUE"""),0.04043981481481482)</f>
        <v>0.04043981481</v>
      </c>
      <c r="Q28" s="151"/>
      <c r="R28" s="140"/>
      <c r="S28" s="140"/>
    </row>
    <row r="29" ht="33.75" customHeight="1">
      <c r="A29" s="140"/>
      <c r="B29" s="140"/>
      <c r="C29" s="147">
        <f>IFERROR(__xludf.DUMMYFUNCTION("""COMPUTED_VALUE"""),2813141.0)</f>
        <v>2813141</v>
      </c>
      <c r="D29" s="148" t="str">
        <f>IFERROR(__xludf.DUMMYFUNCTION("""COMPUTED_VALUE"""),"Software Project Management Foundations")</f>
        <v>Software Project Management Foundations</v>
      </c>
      <c r="E29" s="147" t="str">
        <f>IFERROR(__xludf.DUMMYFUNCTION("""COMPUTED_VALUE"""),"General")</f>
        <v>General</v>
      </c>
      <c r="F29" s="141" t="str">
        <f>IFERROR(__xludf.DUMMYFUNCTION("""COMPUTED_VALUE"""),"Beginner")</f>
        <v>Beginner</v>
      </c>
      <c r="G29" s="143">
        <f>IFERROR(__xludf.DUMMYFUNCTION("""COMPUTED_VALUE"""),0.03809027777777778)</f>
        <v>0.03809027778</v>
      </c>
      <c r="H29" s="151"/>
      <c r="I29" s="140"/>
      <c r="J29" s="140"/>
      <c r="K29" s="140"/>
      <c r="L29" s="147">
        <f>IFERROR(__xludf.DUMMYFUNCTION("""COMPUTED_VALUE"""),2822581.0)</f>
        <v>2822581</v>
      </c>
      <c r="M29" s="148" t="str">
        <f>IFERROR(__xludf.DUMMYFUNCTION("""COMPUTED_VALUE"""),"Value Realization Best Practices for Customer Success Management")</f>
        <v>Value Realization Best Practices for Customer Success Management</v>
      </c>
      <c r="N29" s="147" t="str">
        <f>IFERROR(__xludf.DUMMYFUNCTION("""COMPUTED_VALUE"""),"General")</f>
        <v>General</v>
      </c>
      <c r="O29" s="141" t="str">
        <f>IFERROR(__xludf.DUMMYFUNCTION("""COMPUTED_VALUE"""),"Beginner")</f>
        <v>Beginner</v>
      </c>
      <c r="P29" s="143">
        <f>IFERROR(__xludf.DUMMYFUNCTION("""COMPUTED_VALUE"""),0.04525462962962963)</f>
        <v>0.04525462963</v>
      </c>
      <c r="Q29" s="151"/>
      <c r="R29" s="140"/>
      <c r="S29" s="140"/>
    </row>
    <row r="30" ht="33.75" customHeight="1">
      <c r="A30" s="140"/>
      <c r="B30" s="140"/>
      <c r="C30" s="147">
        <f>IFERROR(__xludf.DUMMYFUNCTION("""COMPUTED_VALUE"""),2814140.0)</f>
        <v>2814140</v>
      </c>
      <c r="D30" s="148" t="str">
        <f>IFERROR(__xludf.DUMMYFUNCTION("""COMPUTED_VALUE"""),"Project Management Simplified")</f>
        <v>Project Management Simplified</v>
      </c>
      <c r="E30" s="147" t="str">
        <f>IFERROR(__xludf.DUMMYFUNCTION("""COMPUTED_VALUE"""),"General")</f>
        <v>General</v>
      </c>
      <c r="F30" s="141" t="str">
        <f>IFERROR(__xludf.DUMMYFUNCTION("""COMPUTED_VALUE"""),"Beginner")</f>
        <v>Beginner</v>
      </c>
      <c r="G30" s="143">
        <f>IFERROR(__xludf.DUMMYFUNCTION("""COMPUTED_VALUE"""),0.07271990740740741)</f>
        <v>0.07271990741</v>
      </c>
      <c r="H30" s="151"/>
      <c r="I30" s="140"/>
      <c r="J30" s="140"/>
      <c r="K30" s="140"/>
      <c r="L30" s="147">
        <f>IFERROR(__xludf.DUMMYFUNCTION("""COMPUTED_VALUE"""),2822582.0)</f>
        <v>2822582</v>
      </c>
      <c r="M30" s="148" t="str">
        <f>IFERROR(__xludf.DUMMYFUNCTION("""COMPUTED_VALUE"""),"Avoiding Common Pitfalls in Customer Success Management")</f>
        <v>Avoiding Common Pitfalls in Customer Success Management</v>
      </c>
      <c r="N30" s="147" t="str">
        <f>IFERROR(__xludf.DUMMYFUNCTION("""COMPUTED_VALUE"""),"General")</f>
        <v>General</v>
      </c>
      <c r="O30" s="141" t="str">
        <f>IFERROR(__xludf.DUMMYFUNCTION("""COMPUTED_VALUE"""),"Beginner")</f>
        <v>Beginner</v>
      </c>
      <c r="P30" s="143">
        <f>IFERROR(__xludf.DUMMYFUNCTION("""COMPUTED_VALUE"""),0.024722222222222222)</f>
        <v>0.02472222222</v>
      </c>
      <c r="Q30" s="151"/>
      <c r="R30" s="140"/>
      <c r="S30" s="140"/>
    </row>
    <row r="31" ht="33.75" customHeight="1">
      <c r="A31" s="140"/>
      <c r="B31" s="140"/>
      <c r="C31" s="147">
        <f>IFERROR(__xludf.DUMMYFUNCTION("""COMPUTED_VALUE"""),2823295.0)</f>
        <v>2823295</v>
      </c>
      <c r="D31" s="148" t="str">
        <f>IFERROR(__xludf.DUMMYFUNCTION("""COMPUTED_VALUE"""),"Hoshin Planning")</f>
        <v>Hoshin Planning</v>
      </c>
      <c r="E31" s="147" t="str">
        <f>IFERROR(__xludf.DUMMYFUNCTION("""COMPUTED_VALUE"""),"General")</f>
        <v>General</v>
      </c>
      <c r="F31" s="141" t="str">
        <f>IFERROR(__xludf.DUMMYFUNCTION("""COMPUTED_VALUE"""),"Beginner")</f>
        <v>Beginner</v>
      </c>
      <c r="G31" s="143">
        <f>IFERROR(__xludf.DUMMYFUNCTION("""COMPUTED_VALUE"""),0.045)</f>
        <v>0.045</v>
      </c>
      <c r="H31" s="151"/>
      <c r="I31" s="140"/>
      <c r="J31" s="140"/>
      <c r="K31" s="140"/>
      <c r="L31" s="147">
        <f>IFERROR(__xludf.DUMMYFUNCTION("""COMPUTED_VALUE"""),2823488.0)</f>
        <v>2823488</v>
      </c>
      <c r="M31" s="148" t="str">
        <f>IFERROR(__xludf.DUMMYFUNCTION("""COMPUTED_VALUE"""),"Onboarding and Adoption Best Practices for Customer Success Management")</f>
        <v>Onboarding and Adoption Best Practices for Customer Success Management</v>
      </c>
      <c r="N31" s="147" t="str">
        <f>IFERROR(__xludf.DUMMYFUNCTION("""COMPUTED_VALUE"""),"General")</f>
        <v>General</v>
      </c>
      <c r="O31" s="141" t="str">
        <f>IFERROR(__xludf.DUMMYFUNCTION("""COMPUTED_VALUE"""),"Beginner")</f>
        <v>Beginner</v>
      </c>
      <c r="P31" s="143">
        <f>IFERROR(__xludf.DUMMYFUNCTION("""COMPUTED_VALUE"""),0.05265046296296296)</f>
        <v>0.05265046296</v>
      </c>
      <c r="Q31" s="151"/>
      <c r="R31" s="140"/>
      <c r="S31" s="140"/>
    </row>
    <row r="32" ht="33.75" customHeight="1">
      <c r="A32" s="140"/>
      <c r="B32" s="140"/>
      <c r="C32" s="147">
        <f>IFERROR(__xludf.DUMMYFUNCTION("""COMPUTED_VALUE"""),2823298.0)</f>
        <v>2823298</v>
      </c>
      <c r="D32" s="148" t="str">
        <f>IFERROR(__xludf.DUMMYFUNCTION("""COMPUTED_VALUE"""),"Implementing Lean: A Case Study")</f>
        <v>Implementing Lean: A Case Study</v>
      </c>
      <c r="E32" s="147" t="str">
        <f>IFERROR(__xludf.DUMMYFUNCTION("""COMPUTED_VALUE"""),"General")</f>
        <v>General</v>
      </c>
      <c r="F32" s="141" t="str">
        <f>IFERROR(__xludf.DUMMYFUNCTION("""COMPUTED_VALUE"""),"Beginner")</f>
        <v>Beginner</v>
      </c>
      <c r="G32" s="143">
        <f>IFERROR(__xludf.DUMMYFUNCTION("""COMPUTED_VALUE"""),0.04949074074074074)</f>
        <v>0.04949074074</v>
      </c>
      <c r="H32" s="151"/>
      <c r="I32" s="140"/>
      <c r="J32" s="140"/>
      <c r="K32" s="140"/>
      <c r="L32" s="147">
        <f>IFERROR(__xludf.DUMMYFUNCTION("""COMPUTED_VALUE"""),2823513.0)</f>
        <v>2823513</v>
      </c>
      <c r="M32" s="148" t="str">
        <f>IFERROR(__xludf.DUMMYFUNCTION("""COMPUTED_VALUE"""),"Business Analytics: Sales Data")</f>
        <v>Business Analytics: Sales Data</v>
      </c>
      <c r="N32" s="147" t="str">
        <f>IFERROR(__xludf.DUMMYFUNCTION("""COMPUTED_VALUE"""),"General")</f>
        <v>General</v>
      </c>
      <c r="O32" s="141" t="str">
        <f>IFERROR(__xludf.DUMMYFUNCTION("""COMPUTED_VALUE"""),"Beginner")</f>
        <v>Beginner</v>
      </c>
      <c r="P32" s="143">
        <f>IFERROR(__xludf.DUMMYFUNCTION("""COMPUTED_VALUE"""),0.03740740740740741)</f>
        <v>0.03740740741</v>
      </c>
      <c r="Q32" s="151"/>
      <c r="R32" s="140"/>
      <c r="S32" s="140"/>
    </row>
    <row r="33" ht="33.75" customHeight="1">
      <c r="A33" s="140"/>
      <c r="B33" s="140"/>
      <c r="C33" s="147">
        <f>IFERROR(__xludf.DUMMYFUNCTION("""COMPUTED_VALUE"""),2824205.0)</f>
        <v>2824205</v>
      </c>
      <c r="D33" s="148" t="str">
        <f>IFERROR(__xludf.DUMMYFUNCTION("""COMPUTED_VALUE"""),"From Resisting to Embracing Lean: A Case Study")</f>
        <v>From Resisting to Embracing Lean: A Case Study</v>
      </c>
      <c r="E33" s="147" t="str">
        <f>IFERROR(__xludf.DUMMYFUNCTION("""COMPUTED_VALUE"""),"General")</f>
        <v>General</v>
      </c>
      <c r="F33" s="141" t="str">
        <f>IFERROR(__xludf.DUMMYFUNCTION("""COMPUTED_VALUE"""),"Beginner")</f>
        <v>Beginner</v>
      </c>
      <c r="G33" s="143">
        <f>IFERROR(__xludf.DUMMYFUNCTION("""COMPUTED_VALUE"""),0.1133912037037037)</f>
        <v>0.1133912037</v>
      </c>
      <c r="H33" s="151"/>
      <c r="I33" s="140"/>
      <c r="J33" s="140"/>
      <c r="K33" s="140"/>
      <c r="L33" s="147">
        <f>IFERROR(__xludf.DUMMYFUNCTION("""COMPUTED_VALUE"""),2824204.0)</f>
        <v>2824204</v>
      </c>
      <c r="M33" s="148" t="str">
        <f>IFERROR(__xludf.DUMMYFUNCTION("""COMPUTED_VALUE"""),"Cold Calling Mastery")</f>
        <v>Cold Calling Mastery</v>
      </c>
      <c r="N33" s="147" t="str">
        <f>IFERROR(__xludf.DUMMYFUNCTION("""COMPUTED_VALUE"""),"General")</f>
        <v>General</v>
      </c>
      <c r="O33" s="141" t="str">
        <f>IFERROR(__xludf.DUMMYFUNCTION("""COMPUTED_VALUE"""),"Beginner")</f>
        <v>Beginner</v>
      </c>
      <c r="P33" s="143">
        <f>IFERROR(__xludf.DUMMYFUNCTION("""COMPUTED_VALUE"""),0.06032407407407407)</f>
        <v>0.06032407407</v>
      </c>
      <c r="Q33" s="151"/>
      <c r="R33" s="140"/>
      <c r="S33" s="140"/>
    </row>
    <row r="34" ht="33.75" customHeight="1">
      <c r="A34" s="140"/>
      <c r="B34" s="140"/>
      <c r="C34" s="147">
        <f>IFERROR(__xludf.DUMMYFUNCTION("""COMPUTED_VALUE"""),2825034.0)</f>
        <v>2825034</v>
      </c>
      <c r="D34" s="148" t="str">
        <f>IFERROR(__xludf.DUMMYFUNCTION("""COMPUTED_VALUE"""),"Project Management Tips")</f>
        <v>Project Management Tips</v>
      </c>
      <c r="E34" s="147" t="str">
        <f>IFERROR(__xludf.DUMMYFUNCTION("""COMPUTED_VALUE"""),"General")</f>
        <v>General</v>
      </c>
      <c r="F34" s="141" t="str">
        <f>IFERROR(__xludf.DUMMYFUNCTION("""COMPUTED_VALUE"""),"Beginner")</f>
        <v>Beginner</v>
      </c>
      <c r="G34" s="143">
        <f>IFERROR(__xludf.DUMMYFUNCTION("""COMPUTED_VALUE"""),0.03245370370370371)</f>
        <v>0.0324537037</v>
      </c>
      <c r="H34" s="151"/>
      <c r="I34" s="140"/>
      <c r="J34" s="140"/>
      <c r="K34" s="140"/>
      <c r="L34" s="147">
        <f>IFERROR(__xludf.DUMMYFUNCTION("""COMPUTED_VALUE"""),2824265.0)</f>
        <v>2824265</v>
      </c>
      <c r="M34" s="148" t="str">
        <f>IFERROR(__xludf.DUMMYFUNCTION("""COMPUTED_VALUE"""),"Prepare Yourself for a Career in Sales")</f>
        <v>Prepare Yourself for a Career in Sales</v>
      </c>
      <c r="N34" s="147" t="str">
        <f>IFERROR(__xludf.DUMMYFUNCTION("""COMPUTED_VALUE"""),"General")</f>
        <v>General</v>
      </c>
      <c r="O34" s="141" t="str">
        <f>IFERROR(__xludf.DUMMYFUNCTION("""COMPUTED_VALUE"""),"Beginner")</f>
        <v>Beginner</v>
      </c>
      <c r="P34" s="143">
        <f>IFERROR(__xludf.DUMMYFUNCTION("""COMPUTED_VALUE"""),0.03826388888888889)</f>
        <v>0.03826388889</v>
      </c>
      <c r="Q34" s="151"/>
      <c r="R34" s="140"/>
      <c r="S34" s="140"/>
    </row>
    <row r="35" ht="33.75" customHeight="1">
      <c r="A35" s="140"/>
      <c r="B35" s="140"/>
      <c r="C35" s="147">
        <f>IFERROR(__xludf.DUMMYFUNCTION("""COMPUTED_VALUE"""),2813184.0)</f>
        <v>2813184</v>
      </c>
      <c r="D35" s="148" t="str">
        <f>IFERROR(__xludf.DUMMYFUNCTION("""COMPUTED_VALUE"""),"Time Management Tips: Scheduling")</f>
        <v>Time Management Tips: Scheduling</v>
      </c>
      <c r="E35" s="147" t="str">
        <f>IFERROR(__xludf.DUMMYFUNCTION("""COMPUTED_VALUE"""),"General")</f>
        <v>General</v>
      </c>
      <c r="F35" s="141" t="str">
        <f>IFERROR(__xludf.DUMMYFUNCTION("""COMPUTED_VALUE"""),"Beginner")</f>
        <v>Beginner</v>
      </c>
      <c r="G35" s="143">
        <f>IFERROR(__xludf.DUMMYFUNCTION("""COMPUTED_VALUE"""),0.031967592592592596)</f>
        <v>0.03196759259</v>
      </c>
      <c r="H35" s="151"/>
      <c r="I35" s="140"/>
      <c r="J35" s="140"/>
      <c r="K35" s="140"/>
      <c r="L35" s="147">
        <f>IFERROR(__xludf.DUMMYFUNCTION("""COMPUTED_VALUE"""),2824356.0)</f>
        <v>2824356</v>
      </c>
      <c r="M35" s="148" t="str">
        <f>IFERROR(__xludf.DUMMYFUNCTION("""COMPUTED_VALUE"""),"Engagement Preparation Best Practices for Customer Success Management")</f>
        <v>Engagement Preparation Best Practices for Customer Success Management</v>
      </c>
      <c r="N35" s="147" t="str">
        <f>IFERROR(__xludf.DUMMYFUNCTION("""COMPUTED_VALUE"""),"General")</f>
        <v>General</v>
      </c>
      <c r="O35" s="141" t="str">
        <f>IFERROR(__xludf.DUMMYFUNCTION("""COMPUTED_VALUE"""),"Beginner")</f>
        <v>Beginner</v>
      </c>
      <c r="P35" s="143">
        <f>IFERROR(__xludf.DUMMYFUNCTION("""COMPUTED_VALUE"""),0.03826388888888889)</f>
        <v>0.03826388889</v>
      </c>
      <c r="Q35" s="151"/>
      <c r="R35" s="140"/>
      <c r="S35" s="140"/>
    </row>
    <row r="36" ht="33.75" customHeight="1">
      <c r="A36" s="140"/>
      <c r="B36" s="140"/>
      <c r="C36" s="147">
        <f>IFERROR(__xludf.DUMMYFUNCTION("""COMPUTED_VALUE"""),2813277.0)</f>
        <v>2813277</v>
      </c>
      <c r="D36" s="148" t="str">
        <f>IFERROR(__xludf.DUMMYFUNCTION("""COMPUTED_VALUE"""),"Time Management Tips: Teamwork")</f>
        <v>Time Management Tips: Teamwork</v>
      </c>
      <c r="E36" s="147" t="str">
        <f>IFERROR(__xludf.DUMMYFUNCTION("""COMPUTED_VALUE"""),"General")</f>
        <v>General</v>
      </c>
      <c r="F36" s="141" t="str">
        <f>IFERROR(__xludf.DUMMYFUNCTION("""COMPUTED_VALUE"""),"Beginner")</f>
        <v>Beginner</v>
      </c>
      <c r="G36" s="143">
        <f>IFERROR(__xludf.DUMMYFUNCTION("""COMPUTED_VALUE"""),0.030532407407407407)</f>
        <v>0.03053240741</v>
      </c>
      <c r="H36" s="151"/>
      <c r="I36" s="140"/>
      <c r="J36" s="140"/>
      <c r="K36" s="140"/>
      <c r="L36" s="147">
        <f>IFERROR(__xludf.DUMMYFUNCTION("""COMPUTED_VALUE"""),2825375.0)</f>
        <v>2825375</v>
      </c>
      <c r="M36" s="148" t="str">
        <f>IFERROR(__xludf.DUMMYFUNCTION("""COMPUTED_VALUE"""),"Creating Your Sales Process")</f>
        <v>Creating Your Sales Process</v>
      </c>
      <c r="N36" s="147" t="str">
        <f>IFERROR(__xludf.DUMMYFUNCTION("""COMPUTED_VALUE"""),"General")</f>
        <v>General</v>
      </c>
      <c r="O36" s="141" t="str">
        <f>IFERROR(__xludf.DUMMYFUNCTION("""COMPUTED_VALUE"""),"Beginner")</f>
        <v>Beginner</v>
      </c>
      <c r="P36" s="143">
        <f>IFERROR(__xludf.DUMMYFUNCTION("""COMPUTED_VALUE"""),0.02679398148148148)</f>
        <v>0.02679398148</v>
      </c>
      <c r="Q36" s="151"/>
      <c r="R36" s="140"/>
      <c r="S36" s="140"/>
    </row>
    <row r="37" ht="33.75" customHeight="1">
      <c r="A37" s="140"/>
      <c r="B37" s="140"/>
      <c r="C37" s="147">
        <f>IFERROR(__xludf.DUMMYFUNCTION("""COMPUTED_VALUE"""),2831005.0)</f>
        <v>2831005</v>
      </c>
      <c r="D37" s="148" t="str">
        <f>IFERROR(__xludf.DUMMYFUNCTION("""COMPUTED_VALUE"""),"Introducing the PMBOK® Guide—Seventh Edition")</f>
        <v>Introducing the PMBOK® Guide—Seventh Edition</v>
      </c>
      <c r="E37" s="147" t="str">
        <f>IFERROR(__xludf.DUMMYFUNCTION("""COMPUTED_VALUE"""),"General")</f>
        <v>General</v>
      </c>
      <c r="F37" s="141" t="str">
        <f>IFERROR(__xludf.DUMMYFUNCTION("""COMPUTED_VALUE"""),"Beginner")</f>
        <v>Beginner</v>
      </c>
      <c r="G37" s="143">
        <f>IFERROR(__xludf.DUMMYFUNCTION("""COMPUTED_VALUE"""),0.021597222222222223)</f>
        <v>0.02159722222</v>
      </c>
      <c r="H37" s="151"/>
      <c r="I37" s="140"/>
      <c r="J37" s="140"/>
      <c r="K37" s="140"/>
      <c r="L37" s="147">
        <f>IFERROR(__xludf.DUMMYFUNCTION("""COMPUTED_VALUE"""),2972232.0)</f>
        <v>2972232</v>
      </c>
      <c r="M37" s="148" t="str">
        <f>IFERROR(__xludf.DUMMYFUNCTION("""COMPUTED_VALUE"""),"Sales Fundamentals")</f>
        <v>Sales Fundamentals</v>
      </c>
      <c r="N37" s="147" t="str">
        <f>IFERROR(__xludf.DUMMYFUNCTION("""COMPUTED_VALUE"""),"General")</f>
        <v>General</v>
      </c>
      <c r="O37" s="141" t="str">
        <f>IFERROR(__xludf.DUMMYFUNCTION("""COMPUTED_VALUE"""),"Beginner")</f>
        <v>Beginner</v>
      </c>
      <c r="P37" s="143">
        <f>IFERROR(__xludf.DUMMYFUNCTION("""COMPUTED_VALUE"""),0.03568287037037037)</f>
        <v>0.03568287037</v>
      </c>
      <c r="Q37" s="151"/>
      <c r="R37" s="140"/>
      <c r="S37" s="140"/>
    </row>
    <row r="38" ht="33.75" customHeight="1">
      <c r="A38" s="140"/>
      <c r="B38" s="140"/>
      <c r="C38" s="147">
        <f>IFERROR(__xludf.DUMMYFUNCTION("""COMPUTED_VALUE"""),2823512.0)</f>
        <v>2823512</v>
      </c>
      <c r="D38" s="148" t="str">
        <f>IFERROR(__xludf.DUMMYFUNCTION("""COMPUTED_VALUE"""),"Productivity: Prioritizing at Work")</f>
        <v>Productivity: Prioritizing at Work</v>
      </c>
      <c r="E38" s="147" t="str">
        <f>IFERROR(__xludf.DUMMYFUNCTION("""COMPUTED_VALUE"""),"General")</f>
        <v>General</v>
      </c>
      <c r="F38" s="141" t="str">
        <f>IFERROR(__xludf.DUMMYFUNCTION("""COMPUTED_VALUE"""),"Beginner")</f>
        <v>Beginner</v>
      </c>
      <c r="G38" s="143">
        <f>IFERROR(__xludf.DUMMYFUNCTION("""COMPUTED_VALUE"""),0.03369212962962963)</f>
        <v>0.03369212963</v>
      </c>
      <c r="H38" s="151"/>
      <c r="I38" s="140"/>
      <c r="J38" s="140"/>
      <c r="K38" s="140"/>
      <c r="L38" s="147">
        <f>IFERROR(__xludf.DUMMYFUNCTION("""COMPUTED_VALUE"""),2974328.0)</f>
        <v>2974328</v>
      </c>
      <c r="M38" s="148" t="str">
        <f>IFERROR(__xludf.DUMMYFUNCTION("""COMPUTED_VALUE"""),"Cold Calling: Overcoming Sales Objections")</f>
        <v>Cold Calling: Overcoming Sales Objections</v>
      </c>
      <c r="N38" s="147" t="str">
        <f>IFERROR(__xludf.DUMMYFUNCTION("""COMPUTED_VALUE"""),"General")</f>
        <v>General</v>
      </c>
      <c r="O38" s="141" t="str">
        <f>IFERROR(__xludf.DUMMYFUNCTION("""COMPUTED_VALUE"""),"Beginner")</f>
        <v>Beginner</v>
      </c>
      <c r="P38" s="143">
        <f>IFERROR(__xludf.DUMMYFUNCTION("""COMPUTED_VALUE"""),0.03542824074074074)</f>
        <v>0.03542824074</v>
      </c>
      <c r="Q38" s="151"/>
      <c r="R38" s="140"/>
      <c r="S38" s="140"/>
    </row>
    <row r="39" ht="33.75" customHeight="1">
      <c r="A39" s="140"/>
      <c r="B39" s="140"/>
      <c r="C39" s="147">
        <f>IFERROR(__xludf.DUMMYFUNCTION("""COMPUTED_VALUE"""),2834000.0)</f>
        <v>2834000</v>
      </c>
      <c r="D39" s="148" t="str">
        <f>IFERROR(__xludf.DUMMYFUNCTION("""COMPUTED_VALUE"""),"Project Leadership")</f>
        <v>Project Leadership</v>
      </c>
      <c r="E39" s="147" t="str">
        <f>IFERROR(__xludf.DUMMYFUNCTION("""COMPUTED_VALUE"""),"General")</f>
        <v>General</v>
      </c>
      <c r="F39" s="141" t="str">
        <f>IFERROR(__xludf.DUMMYFUNCTION("""COMPUTED_VALUE"""),"Beginner")</f>
        <v>Beginner</v>
      </c>
      <c r="G39" s="143">
        <f>IFERROR(__xludf.DUMMYFUNCTION("""COMPUTED_VALUE"""),0.029988425925925925)</f>
        <v>0.02998842593</v>
      </c>
      <c r="H39" s="151"/>
      <c r="I39" s="140"/>
      <c r="J39" s="140"/>
      <c r="K39" s="140"/>
      <c r="L39" s="147">
        <f>IFERROR(__xludf.DUMMYFUNCTION("""COMPUTED_VALUE"""),5016707.0)</f>
        <v>5016707</v>
      </c>
      <c r="M39" s="148" t="str">
        <f>IFERROR(__xludf.DUMMYFUNCTION("""COMPUTED_VALUE"""),"Selling with Authenticity")</f>
        <v>Selling with Authenticity</v>
      </c>
      <c r="N39" s="147" t="str">
        <f>IFERROR(__xludf.DUMMYFUNCTION("""COMPUTED_VALUE"""),"General")</f>
        <v>General</v>
      </c>
      <c r="O39" s="141" t="str">
        <f>IFERROR(__xludf.DUMMYFUNCTION("""COMPUTED_VALUE"""),"Beginner")</f>
        <v>Beginner</v>
      </c>
      <c r="P39" s="143">
        <f>IFERROR(__xludf.DUMMYFUNCTION("""COMPUTED_VALUE"""),0.02847222222222222)</f>
        <v>0.02847222222</v>
      </c>
      <c r="Q39" s="151"/>
      <c r="R39" s="140"/>
      <c r="S39" s="140"/>
    </row>
    <row r="40" ht="33.75" customHeight="1">
      <c r="A40" s="140"/>
      <c r="B40" s="140"/>
      <c r="C40" s="147">
        <f>IFERROR(__xludf.DUMMYFUNCTION("""COMPUTED_VALUE"""),2822640.0)</f>
        <v>2822640</v>
      </c>
      <c r="D40" s="148" t="str">
        <f>IFERROR(__xludf.DUMMYFUNCTION("""COMPUTED_VALUE"""),"Project Management Foundations: Quality")</f>
        <v>Project Management Foundations: Quality</v>
      </c>
      <c r="E40" s="147" t="str">
        <f>IFERROR(__xludf.DUMMYFUNCTION("""COMPUTED_VALUE"""),"General")</f>
        <v>General</v>
      </c>
      <c r="F40" s="141" t="str">
        <f>IFERROR(__xludf.DUMMYFUNCTION("""COMPUTED_VALUE"""),"Beginner")</f>
        <v>Beginner</v>
      </c>
      <c r="G40" s="143">
        <f>IFERROR(__xludf.DUMMYFUNCTION("""COMPUTED_VALUE"""),0.021574074074074075)</f>
        <v>0.02157407407</v>
      </c>
      <c r="H40" s="151"/>
      <c r="I40" s="140"/>
      <c r="J40" s="140"/>
      <c r="K40" s="140"/>
      <c r="L40" s="147">
        <f>IFERROR(__xludf.DUMMYFUNCTION("""COMPUTED_VALUE"""),2837268.0)</f>
        <v>2837268</v>
      </c>
      <c r="M40" s="148" t="str">
        <f>IFERROR(__xludf.DUMMYFUNCTION("""COMPUTED_VALUE"""),"Jeffrey Gitomer’s Little Red Book of Sales Answers (getAbstract Summary)")</f>
        <v>Jeffrey Gitomer’s Little Red Book of Sales Answers (getAbstract Summary)</v>
      </c>
      <c r="N40" s="147" t="str">
        <f>IFERROR(__xludf.DUMMYFUNCTION("""COMPUTED_VALUE"""),"General")</f>
        <v>General</v>
      </c>
      <c r="O40" s="141" t="str">
        <f>IFERROR(__xludf.DUMMYFUNCTION("""COMPUTED_VALUE"""),"Beginner")</f>
        <v>Beginner</v>
      </c>
      <c r="P40" s="143">
        <f>IFERROR(__xludf.DUMMYFUNCTION("""COMPUTED_VALUE"""),0.007592592592592593)</f>
        <v>0.007592592593</v>
      </c>
      <c r="Q40" s="151"/>
      <c r="R40" s="140"/>
      <c r="S40" s="140"/>
    </row>
    <row r="41" ht="33.75" customHeight="1">
      <c r="A41" s="140"/>
      <c r="B41" s="140"/>
      <c r="C41" s="147">
        <f>IFERROR(__xludf.DUMMYFUNCTION("""COMPUTED_VALUE"""),2885197.0)</f>
        <v>2885197</v>
      </c>
      <c r="D41" s="148" t="str">
        <f>IFERROR(__xludf.DUMMYFUNCTION("""COMPUTED_VALUE"""),"Project Manager to Project Motivator: Unlock the Secrets of Strengths-Based Project Management")</f>
        <v>Project Manager to Project Motivator: Unlock the Secrets of Strengths-Based Project Management</v>
      </c>
      <c r="E41" s="147" t="str">
        <f>IFERROR(__xludf.DUMMYFUNCTION("""COMPUTED_VALUE"""),"General")</f>
        <v>General</v>
      </c>
      <c r="F41" s="141" t="str">
        <f>IFERROR(__xludf.DUMMYFUNCTION("""COMPUTED_VALUE"""),"Beginner")</f>
        <v>Beginner</v>
      </c>
      <c r="G41" s="143">
        <f>IFERROR(__xludf.DUMMYFUNCTION("""COMPUTED_VALUE"""),0.03333333333333333)</f>
        <v>0.03333333333</v>
      </c>
      <c r="H41" s="151"/>
      <c r="I41" s="140"/>
      <c r="J41" s="140"/>
      <c r="K41" s="140"/>
      <c r="L41" s="147">
        <f>IFERROR(__xludf.DUMMYFUNCTION("""COMPUTED_VALUE"""),2848077.0)</f>
        <v>2848077</v>
      </c>
      <c r="M41" s="148" t="str">
        <f>IFERROR(__xludf.DUMMYFUNCTION("""COMPUTED_VALUE"""),"Cold-Calling Directors and Executives")</f>
        <v>Cold-Calling Directors and Executives</v>
      </c>
      <c r="N41" s="147" t="str">
        <f>IFERROR(__xludf.DUMMYFUNCTION("""COMPUTED_VALUE"""),"General")</f>
        <v>General</v>
      </c>
      <c r="O41" s="141" t="str">
        <f>IFERROR(__xludf.DUMMYFUNCTION("""COMPUTED_VALUE"""),"Beginner")</f>
        <v>Beginner</v>
      </c>
      <c r="P41" s="143">
        <f>IFERROR(__xludf.DUMMYFUNCTION("""COMPUTED_VALUE"""),0.02230324074074074)</f>
        <v>0.02230324074</v>
      </c>
      <c r="Q41" s="151"/>
      <c r="R41" s="140"/>
      <c r="S41" s="140"/>
    </row>
    <row r="42" ht="33.75" customHeight="1">
      <c r="A42" s="140"/>
      <c r="B42" s="140"/>
      <c r="C42" s="147">
        <f>IFERROR(__xludf.DUMMYFUNCTION("""COMPUTED_VALUE"""),2880278.0)</f>
        <v>2880278</v>
      </c>
      <c r="D42" s="148" t="str">
        <f>IFERROR(__xludf.DUMMYFUNCTION("""COMPUTED_VALUE"""),"Agile: It's Not Just for Software")</f>
        <v>Agile: It's Not Just for Software</v>
      </c>
      <c r="E42" s="147" t="str">
        <f>IFERROR(__xludf.DUMMYFUNCTION("""COMPUTED_VALUE"""),"General")</f>
        <v>General</v>
      </c>
      <c r="F42" s="141" t="str">
        <f>IFERROR(__xludf.DUMMYFUNCTION("""COMPUTED_VALUE"""),"Beginner")</f>
        <v>Beginner</v>
      </c>
      <c r="G42" s="143">
        <f>IFERROR(__xludf.DUMMYFUNCTION("""COMPUTED_VALUE"""),0.026990740740740742)</f>
        <v>0.02699074074</v>
      </c>
      <c r="H42" s="151"/>
      <c r="I42" s="140"/>
      <c r="J42" s="140"/>
      <c r="K42" s="140"/>
      <c r="L42" s="147">
        <f>IFERROR(__xludf.DUMMYFUNCTION("""COMPUTED_VALUE"""),2882089.0)</f>
        <v>2882089</v>
      </c>
      <c r="M42" s="148" t="str">
        <f>IFERROR(__xludf.DUMMYFUNCTION("""COMPUTED_VALUE"""),"Mastering Authentic Influence for Highly Successful Sales")</f>
        <v>Mastering Authentic Influence for Highly Successful Sales</v>
      </c>
      <c r="N42" s="147" t="str">
        <f>IFERROR(__xludf.DUMMYFUNCTION("""COMPUTED_VALUE"""),"General")</f>
        <v>General</v>
      </c>
      <c r="O42" s="141" t="str">
        <f>IFERROR(__xludf.DUMMYFUNCTION("""COMPUTED_VALUE"""),"Beginner")</f>
        <v>Beginner</v>
      </c>
      <c r="P42" s="143">
        <f>IFERROR(__xludf.DUMMYFUNCTION("""COMPUTED_VALUE"""),0.054814814814814816)</f>
        <v>0.05481481481</v>
      </c>
      <c r="Q42" s="151"/>
      <c r="R42" s="140"/>
      <c r="S42" s="140"/>
    </row>
    <row r="43" ht="33.75" customHeight="1">
      <c r="A43" s="140"/>
      <c r="B43" s="140"/>
      <c r="C43" s="147">
        <f>IFERROR(__xludf.DUMMYFUNCTION("""COMPUTED_VALUE"""),2880241.0)</f>
        <v>2880241</v>
      </c>
      <c r="D43" s="148" t="str">
        <f>IFERROR(__xludf.DUMMYFUNCTION("""COMPUTED_VALUE"""),"Managing Projects as Offices Reopen")</f>
        <v>Managing Projects as Offices Reopen</v>
      </c>
      <c r="E43" s="147" t="str">
        <f>IFERROR(__xludf.DUMMYFUNCTION("""COMPUTED_VALUE"""),"General")</f>
        <v>General</v>
      </c>
      <c r="F43" s="141" t="str">
        <f>IFERROR(__xludf.DUMMYFUNCTION("""COMPUTED_VALUE"""),"Beginner")</f>
        <v>Beginner</v>
      </c>
      <c r="G43" s="143">
        <f>IFERROR(__xludf.DUMMYFUNCTION("""COMPUTED_VALUE"""),0.014965277777777777)</f>
        <v>0.01496527778</v>
      </c>
      <c r="H43" s="151"/>
      <c r="I43" s="140"/>
      <c r="J43" s="140"/>
      <c r="K43" s="140"/>
      <c r="L43" s="147">
        <f>IFERROR(__xludf.DUMMYFUNCTION("""COMPUTED_VALUE"""),2367359.0)</f>
        <v>2367359</v>
      </c>
      <c r="M43" s="148" t="str">
        <f>IFERROR(__xludf.DUMMYFUNCTION("""COMPUTED_VALUE"""),"How to Make Work More Meaningful")</f>
        <v>How to Make Work More Meaningful</v>
      </c>
      <c r="N43" s="147" t="str">
        <f>IFERROR(__xludf.DUMMYFUNCTION("""COMPUTED_VALUE"""),"General")</f>
        <v>General</v>
      </c>
      <c r="O43" s="141" t="str">
        <f>IFERROR(__xludf.DUMMYFUNCTION("""COMPUTED_VALUE"""),"Beginner")</f>
        <v>Beginner</v>
      </c>
      <c r="P43" s="143">
        <f>IFERROR(__xludf.DUMMYFUNCTION("""COMPUTED_VALUE"""),0.01925925925925926)</f>
        <v>0.01925925926</v>
      </c>
      <c r="Q43" s="151"/>
      <c r="R43" s="140"/>
      <c r="S43" s="140"/>
    </row>
    <row r="44" ht="33.75" customHeight="1">
      <c r="A44" s="140"/>
      <c r="B44" s="140"/>
      <c r="C44" s="147">
        <f>IFERROR(__xludf.DUMMYFUNCTION("""COMPUTED_VALUE"""),3158741.0)</f>
        <v>3158741</v>
      </c>
      <c r="D44" s="148" t="str">
        <f>IFERROR(__xludf.DUMMYFUNCTION("""COMPUTED_VALUE"""),"Mindfulness: A Critical Skill for Project Managers")</f>
        <v>Mindfulness: A Critical Skill for Project Managers</v>
      </c>
      <c r="E44" s="147" t="str">
        <f>IFERROR(__xludf.DUMMYFUNCTION("""COMPUTED_VALUE"""),"General")</f>
        <v>General</v>
      </c>
      <c r="F44" s="141" t="str">
        <f>IFERROR(__xludf.DUMMYFUNCTION("""COMPUTED_VALUE"""),"Beginner")</f>
        <v>Beginner</v>
      </c>
      <c r="G44" s="143">
        <f>IFERROR(__xludf.DUMMYFUNCTION("""COMPUTED_VALUE"""),0.026539351851851852)</f>
        <v>0.02653935185</v>
      </c>
      <c r="H44" s="151"/>
      <c r="I44" s="140"/>
      <c r="J44" s="140"/>
      <c r="K44" s="140"/>
      <c r="L44" s="147">
        <f>IFERROR(__xludf.DUMMYFUNCTION("""COMPUTED_VALUE"""),2878127.0)</f>
        <v>2878127</v>
      </c>
      <c r="M44" s="148" t="str">
        <f>IFERROR(__xludf.DUMMYFUNCTION("""COMPUTED_VALUE"""),"Mindful Productivity")</f>
        <v>Mindful Productivity</v>
      </c>
      <c r="N44" s="147" t="str">
        <f>IFERROR(__xludf.DUMMYFUNCTION("""COMPUTED_VALUE"""),"General")</f>
        <v>General</v>
      </c>
      <c r="O44" s="141" t="str">
        <f>IFERROR(__xludf.DUMMYFUNCTION("""COMPUTED_VALUE"""),"Beginner")</f>
        <v>Beginner</v>
      </c>
      <c r="P44" s="143">
        <f>IFERROR(__xludf.DUMMYFUNCTION("""COMPUTED_VALUE"""),0.032997685185185185)</f>
        <v>0.03299768519</v>
      </c>
      <c r="Q44" s="151"/>
      <c r="R44" s="140"/>
      <c r="S44" s="140"/>
    </row>
    <row r="45" ht="33.75" customHeight="1">
      <c r="A45" s="140"/>
      <c r="B45" s="140"/>
      <c r="C45" s="147">
        <f>IFERROR(__xludf.DUMMYFUNCTION("""COMPUTED_VALUE"""),2424510.0)</f>
        <v>2424510</v>
      </c>
      <c r="D45" s="148" t="str">
        <f>IFERROR(__xludf.DUMMYFUNCTION("""COMPUTED_VALUE"""),"Build a Successful Career in Project Management")</f>
        <v>Build a Successful Career in Project Management</v>
      </c>
      <c r="E45" s="147" t="str">
        <f>IFERROR(__xludf.DUMMYFUNCTION("""COMPUTED_VALUE"""),"General")</f>
        <v>General</v>
      </c>
      <c r="F45" s="141" t="str">
        <f>IFERROR(__xludf.DUMMYFUNCTION("""COMPUTED_VALUE"""),"Beginner")</f>
        <v>Beginner</v>
      </c>
      <c r="G45" s="143">
        <f>IFERROR(__xludf.DUMMYFUNCTION("""COMPUTED_VALUE"""),0.039108796296296294)</f>
        <v>0.0391087963</v>
      </c>
      <c r="H45" s="151"/>
      <c r="I45" s="140"/>
      <c r="J45" s="140"/>
      <c r="K45" s="140"/>
      <c r="L45" s="147">
        <f>IFERROR(__xludf.DUMMYFUNCTION("""COMPUTED_VALUE"""),2874215.0)</f>
        <v>2874215</v>
      </c>
      <c r="M45" s="148" t="str">
        <f>IFERROR(__xludf.DUMMYFUNCTION("""COMPUTED_VALUE"""),"Embracing Change with Mindfulness")</f>
        <v>Embracing Change with Mindfulness</v>
      </c>
      <c r="N45" s="147" t="str">
        <f>IFERROR(__xludf.DUMMYFUNCTION("""COMPUTED_VALUE"""),"General")</f>
        <v>General</v>
      </c>
      <c r="O45" s="141" t="str">
        <f>IFERROR(__xludf.DUMMYFUNCTION("""COMPUTED_VALUE"""),"Beginner")</f>
        <v>Beginner</v>
      </c>
      <c r="P45" s="143">
        <f>IFERROR(__xludf.DUMMYFUNCTION("""COMPUTED_VALUE"""),0.031041666666666665)</f>
        <v>0.03104166667</v>
      </c>
      <c r="Q45" s="151"/>
      <c r="R45" s="140"/>
      <c r="S45" s="140"/>
    </row>
    <row r="46" ht="33.75" customHeight="1">
      <c r="A46" s="140"/>
      <c r="B46" s="140"/>
      <c r="C46" s="147">
        <f>IFERROR(__xludf.DUMMYFUNCTION("""COMPUTED_VALUE"""),2886284.0)</f>
        <v>2886284</v>
      </c>
      <c r="D46" s="148" t="str">
        <f>IFERROR(__xludf.DUMMYFUNCTION("""COMPUTED_VALUE"""),"Project Management Reinvented for Non-Project Managers")</f>
        <v>Project Management Reinvented for Non-Project Managers</v>
      </c>
      <c r="E46" s="147" t="str">
        <f>IFERROR(__xludf.DUMMYFUNCTION("""COMPUTED_VALUE"""),"General")</f>
        <v>General</v>
      </c>
      <c r="F46" s="141" t="str">
        <f>IFERROR(__xludf.DUMMYFUNCTION("""COMPUTED_VALUE"""),"Beginner")</f>
        <v>Beginner</v>
      </c>
      <c r="G46" s="143">
        <f>IFERROR(__xludf.DUMMYFUNCTION("""COMPUTED_VALUE"""),0.05841435185185185)</f>
        <v>0.05841435185</v>
      </c>
      <c r="H46" s="151"/>
      <c r="I46" s="140"/>
      <c r="J46" s="140"/>
      <c r="K46" s="140"/>
      <c r="L46" s="147">
        <f>IFERROR(__xludf.DUMMYFUNCTION("""COMPUTED_VALUE"""),2875261.0)</f>
        <v>2875261</v>
      </c>
      <c r="M46" s="148" t="str">
        <f>IFERROR(__xludf.DUMMYFUNCTION("""COMPUTED_VALUE"""),"Winding Down: Get a Better Night’s Sleep")</f>
        <v>Winding Down: Get a Better Night’s Sleep</v>
      </c>
      <c r="N46" s="147" t="str">
        <f>IFERROR(__xludf.DUMMYFUNCTION("""COMPUTED_VALUE"""),"General")</f>
        <v>General</v>
      </c>
      <c r="O46" s="141" t="str">
        <f>IFERROR(__xludf.DUMMYFUNCTION("""COMPUTED_VALUE"""),"Beginner")</f>
        <v>Beginner</v>
      </c>
      <c r="P46" s="143">
        <f>IFERROR(__xludf.DUMMYFUNCTION("""COMPUTED_VALUE"""),0.03685185185185185)</f>
        <v>0.03685185185</v>
      </c>
      <c r="Q46" s="151"/>
      <c r="R46" s="140"/>
      <c r="S46" s="140"/>
    </row>
    <row r="47" ht="33.75" customHeight="1">
      <c r="A47" s="140"/>
      <c r="B47" s="140"/>
      <c r="C47" s="147">
        <f>IFERROR(__xludf.DUMMYFUNCTION("""COMPUTED_VALUE"""),3011076.0)</f>
        <v>3011076</v>
      </c>
      <c r="D47" s="148" t="str">
        <f>IFERROR(__xludf.DUMMYFUNCTION("""COMPUTED_VALUE"""),"Asking Effective Questions During Requirements Elicitation")</f>
        <v>Asking Effective Questions During Requirements Elicitation</v>
      </c>
      <c r="E47" s="147" t="str">
        <f>IFERROR(__xludf.DUMMYFUNCTION("""COMPUTED_VALUE"""),"General")</f>
        <v>General</v>
      </c>
      <c r="F47" s="141" t="str">
        <f>IFERROR(__xludf.DUMMYFUNCTION("""COMPUTED_VALUE"""),"Beginner")</f>
        <v>Beginner</v>
      </c>
      <c r="G47" s="143">
        <f>IFERROR(__xludf.DUMMYFUNCTION("""COMPUTED_VALUE"""),0.03364583333333333)</f>
        <v>0.03364583333</v>
      </c>
      <c r="H47" s="151"/>
      <c r="I47" s="140"/>
      <c r="J47" s="140"/>
      <c r="K47" s="140"/>
      <c r="L47" s="147">
        <f>IFERROR(__xludf.DUMMYFUNCTION("""COMPUTED_VALUE"""),2875262.0)</f>
        <v>2875262</v>
      </c>
      <c r="M47" s="148" t="str">
        <f>IFERROR(__xludf.DUMMYFUNCTION("""COMPUTED_VALUE"""),"Mindful Stress Management")</f>
        <v>Mindful Stress Management</v>
      </c>
      <c r="N47" s="147" t="str">
        <f>IFERROR(__xludf.DUMMYFUNCTION("""COMPUTED_VALUE"""),"General")</f>
        <v>General</v>
      </c>
      <c r="O47" s="141" t="str">
        <f>IFERROR(__xludf.DUMMYFUNCTION("""COMPUTED_VALUE"""),"Beginner")</f>
        <v>Beginner</v>
      </c>
      <c r="P47" s="143">
        <f>IFERROR(__xludf.DUMMYFUNCTION("""COMPUTED_VALUE"""),0.025092592592592593)</f>
        <v>0.02509259259</v>
      </c>
      <c r="Q47" s="151"/>
      <c r="R47" s="140"/>
      <c r="S47" s="140"/>
    </row>
    <row r="48" ht="33.75" customHeight="1">
      <c r="A48" s="140"/>
      <c r="B48" s="140"/>
      <c r="C48" s="147">
        <f>IFERROR(__xludf.DUMMYFUNCTION("""COMPUTED_VALUE"""),3013332.0)</f>
        <v>3013332</v>
      </c>
      <c r="D48" s="148" t="str">
        <f>IFERROR(__xludf.DUMMYFUNCTION("""COMPUTED_VALUE"""),"Project Canvas: A Simple Framework to Learn Project Management Fundamentals")</f>
        <v>Project Canvas: A Simple Framework to Learn Project Management Fundamentals</v>
      </c>
      <c r="E48" s="147" t="str">
        <f>IFERROR(__xludf.DUMMYFUNCTION("""COMPUTED_VALUE"""),"General")</f>
        <v>General</v>
      </c>
      <c r="F48" s="141" t="str">
        <f>IFERROR(__xludf.DUMMYFUNCTION("""COMPUTED_VALUE"""),"Beginner")</f>
        <v>Beginner</v>
      </c>
      <c r="G48" s="143">
        <f>IFERROR(__xludf.DUMMYFUNCTION("""COMPUTED_VALUE"""),0.04259259259259259)</f>
        <v>0.04259259259</v>
      </c>
      <c r="H48" s="151"/>
      <c r="I48" s="140"/>
      <c r="J48" s="140"/>
      <c r="K48" s="140"/>
      <c r="L48" s="147">
        <f>IFERROR(__xludf.DUMMYFUNCTION("""COMPUTED_VALUE"""),2875381.0)</f>
        <v>2875381</v>
      </c>
      <c r="M48" s="148" t="str">
        <f>IFERROR(__xludf.DUMMYFUNCTION("""COMPUTED_VALUE"""),"Introduction to Gratitude Meditation")</f>
        <v>Introduction to Gratitude Meditation</v>
      </c>
      <c r="N48" s="147" t="str">
        <f>IFERROR(__xludf.DUMMYFUNCTION("""COMPUTED_VALUE"""),"General")</f>
        <v>General</v>
      </c>
      <c r="O48" s="141" t="str">
        <f>IFERROR(__xludf.DUMMYFUNCTION("""COMPUTED_VALUE"""),"Beginner")</f>
        <v>Beginner</v>
      </c>
      <c r="P48" s="143">
        <f>IFERROR(__xludf.DUMMYFUNCTION("""COMPUTED_VALUE"""),0.011377314814814814)</f>
        <v>0.01137731481</v>
      </c>
      <c r="Q48" s="151"/>
      <c r="R48" s="140"/>
      <c r="S48" s="140"/>
    </row>
    <row r="49" ht="33.75" customHeight="1">
      <c r="A49" s="140"/>
      <c r="B49" s="140"/>
      <c r="C49" s="147">
        <f>IFERROR(__xludf.DUMMYFUNCTION("""COMPUTED_VALUE"""),2833007.0)</f>
        <v>2833007</v>
      </c>
      <c r="D49" s="148" t="str">
        <f>IFERROR(__xludf.DUMMYFUNCTION("""COMPUTED_VALUE"""),"Transition Management for Agile Environments")</f>
        <v>Transition Management for Agile Environments</v>
      </c>
      <c r="E49" s="147" t="str">
        <f>IFERROR(__xludf.DUMMYFUNCTION("""COMPUTED_VALUE"""),"General")</f>
        <v>General</v>
      </c>
      <c r="F49" s="141" t="str">
        <f>IFERROR(__xludf.DUMMYFUNCTION("""COMPUTED_VALUE"""),"Beginner + Intermediate")</f>
        <v>Beginner + Intermediate</v>
      </c>
      <c r="G49" s="143">
        <f>IFERROR(__xludf.DUMMYFUNCTION("""COMPUTED_VALUE"""),0.019328703703703702)</f>
        <v>0.0193287037</v>
      </c>
      <c r="H49" s="151"/>
      <c r="I49" s="140"/>
      <c r="J49" s="140"/>
      <c r="K49" s="140"/>
      <c r="L49" s="147">
        <f>IFERROR(__xludf.DUMMYFUNCTION("""COMPUTED_VALUE"""),2875382.0)</f>
        <v>2875382</v>
      </c>
      <c r="M49" s="148" t="str">
        <f>IFERROR(__xludf.DUMMYFUNCTION("""COMPUTED_VALUE"""),"Introduction to Mind Like Sky Meditation")</f>
        <v>Introduction to Mind Like Sky Meditation</v>
      </c>
      <c r="N49" s="147" t="str">
        <f>IFERROR(__xludf.DUMMYFUNCTION("""COMPUTED_VALUE"""),"General")</f>
        <v>General</v>
      </c>
      <c r="O49" s="141" t="str">
        <f>IFERROR(__xludf.DUMMYFUNCTION("""COMPUTED_VALUE"""),"Beginner")</f>
        <v>Beginner</v>
      </c>
      <c r="P49" s="143">
        <f>IFERROR(__xludf.DUMMYFUNCTION("""COMPUTED_VALUE"""),0.019965277777777776)</f>
        <v>0.01996527778</v>
      </c>
      <c r="Q49" s="151"/>
      <c r="R49" s="140"/>
      <c r="S49" s="140"/>
    </row>
    <row r="50" ht="33.75" customHeight="1">
      <c r="A50" s="140"/>
      <c r="B50" s="140"/>
      <c r="C50" s="147">
        <f>IFERROR(__xludf.DUMMYFUNCTION("""COMPUTED_VALUE"""),765311.0)</f>
        <v>765311</v>
      </c>
      <c r="D50" s="148" t="str">
        <f>IFERROR(__xludf.DUMMYFUNCTION("""COMPUTED_VALUE"""),"Project Management Foundations")</f>
        <v>Project Management Foundations</v>
      </c>
      <c r="E50" s="147" t="str">
        <f>IFERROR(__xludf.DUMMYFUNCTION("""COMPUTED_VALUE"""),"General")</f>
        <v>General</v>
      </c>
      <c r="F50" s="141" t="str">
        <f>IFERROR(__xludf.DUMMYFUNCTION("""COMPUTED_VALUE"""),"Beginner + Intermediate")</f>
        <v>Beginner + Intermediate</v>
      </c>
      <c r="G50" s="143">
        <f>IFERROR(__xludf.DUMMYFUNCTION("""COMPUTED_VALUE"""),0.13936342592592593)</f>
        <v>0.1393634259</v>
      </c>
      <c r="H50" s="151"/>
      <c r="I50" s="140"/>
      <c r="J50" s="140"/>
      <c r="K50" s="140"/>
      <c r="L50" s="147">
        <f>IFERROR(__xludf.DUMMYFUNCTION("""COMPUTED_VALUE"""),2876325.0)</f>
        <v>2876325</v>
      </c>
      <c r="M50" s="148" t="str">
        <f>IFERROR(__xludf.DUMMYFUNCTION("""COMPUTED_VALUE"""),"Introduction to Loving-Kindness Meditation")</f>
        <v>Introduction to Loving-Kindness Meditation</v>
      </c>
      <c r="N50" s="147" t="str">
        <f>IFERROR(__xludf.DUMMYFUNCTION("""COMPUTED_VALUE"""),"General")</f>
        <v>General</v>
      </c>
      <c r="O50" s="141" t="str">
        <f>IFERROR(__xludf.DUMMYFUNCTION("""COMPUTED_VALUE"""),"Beginner")</f>
        <v>Beginner</v>
      </c>
      <c r="P50" s="143">
        <f>IFERROR(__xludf.DUMMYFUNCTION("""COMPUTED_VALUE"""),0.01980324074074074)</f>
        <v>0.01980324074</v>
      </c>
      <c r="Q50" s="151"/>
      <c r="R50" s="140"/>
      <c r="S50" s="140"/>
    </row>
    <row r="51" ht="33.75" customHeight="1">
      <c r="A51" s="140"/>
      <c r="B51" s="140"/>
      <c r="C51" s="147">
        <f>IFERROR(__xludf.DUMMYFUNCTION("""COMPUTED_VALUE"""),648914.0)</f>
        <v>648914</v>
      </c>
      <c r="D51" s="148" t="str">
        <f>IFERROR(__xludf.DUMMYFUNCTION("""COMPUTED_VALUE"""),"Product Management Tips")</f>
        <v>Product Management Tips</v>
      </c>
      <c r="E51" s="147" t="str">
        <f>IFERROR(__xludf.DUMMYFUNCTION("""COMPUTED_VALUE"""),"General")</f>
        <v>General</v>
      </c>
      <c r="F51" s="141" t="str">
        <f>IFERROR(__xludf.DUMMYFUNCTION("""COMPUTED_VALUE"""),"Beginner + Intermediate")</f>
        <v>Beginner + Intermediate</v>
      </c>
      <c r="G51" s="143">
        <f>IFERROR(__xludf.DUMMYFUNCTION("""COMPUTED_VALUE"""),0.050243055555555555)</f>
        <v>0.05024305556</v>
      </c>
      <c r="H51" s="151"/>
      <c r="I51" s="140"/>
      <c r="J51" s="140"/>
      <c r="K51" s="140"/>
      <c r="L51" s="147">
        <f>IFERROR(__xludf.DUMMYFUNCTION("""COMPUTED_VALUE"""),2876326.0)</f>
        <v>2876326</v>
      </c>
      <c r="M51" s="148" t="str">
        <f>IFERROR(__xludf.DUMMYFUNCTION("""COMPUTED_VALUE"""),"Introduction to Forgiveness Meditation")</f>
        <v>Introduction to Forgiveness Meditation</v>
      </c>
      <c r="N51" s="147" t="str">
        <f>IFERROR(__xludf.DUMMYFUNCTION("""COMPUTED_VALUE"""),"General")</f>
        <v>General</v>
      </c>
      <c r="O51" s="141" t="str">
        <f>IFERROR(__xludf.DUMMYFUNCTION("""COMPUTED_VALUE"""),"Beginner")</f>
        <v>Beginner</v>
      </c>
      <c r="P51" s="143">
        <f>IFERROR(__xludf.DUMMYFUNCTION("""COMPUTED_VALUE"""),0.012835648148148148)</f>
        <v>0.01283564815</v>
      </c>
      <c r="Q51" s="151"/>
      <c r="R51" s="140"/>
      <c r="S51" s="140"/>
    </row>
    <row r="52" ht="33.75" customHeight="1">
      <c r="A52" s="140"/>
      <c r="B52" s="140"/>
      <c r="C52" s="147">
        <f>IFERROR(__xludf.DUMMYFUNCTION("""COMPUTED_VALUE"""),2806198.0)</f>
        <v>2806198</v>
      </c>
      <c r="D52" s="148" t="str">
        <f>IFERROR(__xludf.DUMMYFUNCTION("""COMPUTED_VALUE"""),"Managing Project Stakeholders")</f>
        <v>Managing Project Stakeholders</v>
      </c>
      <c r="E52" s="147" t="str">
        <f>IFERROR(__xludf.DUMMYFUNCTION("""COMPUTED_VALUE"""),"General")</f>
        <v>General</v>
      </c>
      <c r="F52" s="141" t="str">
        <f>IFERROR(__xludf.DUMMYFUNCTION("""COMPUTED_VALUE"""),"Beginner + Intermediate")</f>
        <v>Beginner + Intermediate</v>
      </c>
      <c r="G52" s="143">
        <f>IFERROR(__xludf.DUMMYFUNCTION("""COMPUTED_VALUE"""),0.01638888888888889)</f>
        <v>0.01638888889</v>
      </c>
      <c r="H52" s="151"/>
      <c r="I52" s="140"/>
      <c r="J52" s="140"/>
      <c r="K52" s="140"/>
      <c r="L52" s="147">
        <f>IFERROR(__xludf.DUMMYFUNCTION("""COMPUTED_VALUE"""),2877360.0)</f>
        <v>2877360</v>
      </c>
      <c r="M52" s="148" t="str">
        <f>IFERROR(__xludf.DUMMYFUNCTION("""COMPUTED_VALUE"""),"Introduction to Visualization Meditation")</f>
        <v>Introduction to Visualization Meditation</v>
      </c>
      <c r="N52" s="147" t="str">
        <f>IFERROR(__xludf.DUMMYFUNCTION("""COMPUTED_VALUE"""),"General")</f>
        <v>General</v>
      </c>
      <c r="O52" s="141" t="str">
        <f>IFERROR(__xludf.DUMMYFUNCTION("""COMPUTED_VALUE"""),"Beginner")</f>
        <v>Beginner</v>
      </c>
      <c r="P52" s="143">
        <f>IFERROR(__xludf.DUMMYFUNCTION("""COMPUTED_VALUE"""),0.007337962962962963)</f>
        <v>0.007337962963</v>
      </c>
      <c r="Q52" s="151"/>
      <c r="R52" s="140"/>
      <c r="S52" s="140"/>
    </row>
    <row r="53" ht="33.75" customHeight="1">
      <c r="A53" s="140"/>
      <c r="B53" s="140"/>
      <c r="C53" s="147">
        <f>IFERROR(__xludf.DUMMYFUNCTION("""COMPUTED_VALUE"""),2813142.0)</f>
        <v>2813142</v>
      </c>
      <c r="D53" s="148" t="str">
        <f>IFERROR(__xludf.DUMMYFUNCTION("""COMPUTED_VALUE"""),"Transitioning from Waterfall to Agile Project Management")</f>
        <v>Transitioning from Waterfall to Agile Project Management</v>
      </c>
      <c r="E53" s="147" t="str">
        <f>IFERROR(__xludf.DUMMYFUNCTION("""COMPUTED_VALUE"""),"General")</f>
        <v>General</v>
      </c>
      <c r="F53" s="141" t="str">
        <f>IFERROR(__xludf.DUMMYFUNCTION("""COMPUTED_VALUE"""),"Beginner + Intermediate")</f>
        <v>Beginner + Intermediate</v>
      </c>
      <c r="G53" s="143">
        <f>IFERROR(__xludf.DUMMYFUNCTION("""COMPUTED_VALUE"""),0.02826388888888889)</f>
        <v>0.02826388889</v>
      </c>
      <c r="H53" s="151"/>
      <c r="I53" s="140"/>
      <c r="J53" s="140"/>
      <c r="K53" s="140"/>
      <c r="L53" s="147">
        <f>IFERROR(__xludf.DUMMYFUNCTION("""COMPUTED_VALUE"""),2874216.0)</f>
        <v>2874216</v>
      </c>
      <c r="M53" s="148" t="str">
        <f>IFERROR(__xludf.DUMMYFUNCTION("""COMPUTED_VALUE"""),"Mindful Leadership")</f>
        <v>Mindful Leadership</v>
      </c>
      <c r="N53" s="147" t="str">
        <f>IFERROR(__xludf.DUMMYFUNCTION("""COMPUTED_VALUE"""),"General")</f>
        <v>General</v>
      </c>
      <c r="O53" s="141" t="str">
        <f>IFERROR(__xludf.DUMMYFUNCTION("""COMPUTED_VALUE"""),"Beginner")</f>
        <v>Beginner</v>
      </c>
      <c r="P53" s="143">
        <f>IFERROR(__xludf.DUMMYFUNCTION("""COMPUTED_VALUE"""),0.02375)</f>
        <v>0.02375</v>
      </c>
      <c r="Q53" s="151"/>
      <c r="R53" s="140"/>
      <c r="S53" s="140"/>
    </row>
    <row r="54" ht="33.75" customHeight="1">
      <c r="A54" s="140"/>
      <c r="B54" s="140"/>
      <c r="C54" s="147">
        <f>IFERROR(__xludf.DUMMYFUNCTION("""COMPUTED_VALUE"""),2823553.0)</f>
        <v>2823553</v>
      </c>
      <c r="D54" s="148" t="str">
        <f>IFERROR(__xludf.DUMMYFUNCTION("""COMPUTED_VALUE"""),"Construction Industry: Safety")</f>
        <v>Construction Industry: Safety</v>
      </c>
      <c r="E54" s="147" t="str">
        <f>IFERROR(__xludf.DUMMYFUNCTION("""COMPUTED_VALUE"""),"General")</f>
        <v>General</v>
      </c>
      <c r="F54" s="141" t="str">
        <f>IFERROR(__xludf.DUMMYFUNCTION("""COMPUTED_VALUE"""),"Beginner + Intermediate")</f>
        <v>Beginner + Intermediate</v>
      </c>
      <c r="G54" s="143">
        <f>IFERROR(__xludf.DUMMYFUNCTION("""COMPUTED_VALUE"""),0.03221064814814815)</f>
        <v>0.03221064815</v>
      </c>
      <c r="H54" s="151"/>
      <c r="I54" s="140"/>
      <c r="J54" s="140"/>
      <c r="K54" s="140"/>
      <c r="L54" s="147">
        <f>IFERROR(__xludf.DUMMYFUNCTION("""COMPUTED_VALUE"""),2885014.0)</f>
        <v>2885014</v>
      </c>
      <c r="M54" s="148" t="str">
        <f>IFERROR(__xludf.DUMMYFUNCTION("""COMPUTED_VALUE"""),"Creating Flow")</f>
        <v>Creating Flow</v>
      </c>
      <c r="N54" s="147" t="str">
        <f>IFERROR(__xludf.DUMMYFUNCTION("""COMPUTED_VALUE"""),"General")</f>
        <v>General</v>
      </c>
      <c r="O54" s="141" t="str">
        <f>IFERROR(__xludf.DUMMYFUNCTION("""COMPUTED_VALUE"""),"Beginner")</f>
        <v>Beginner</v>
      </c>
      <c r="P54" s="143">
        <f>IFERROR(__xludf.DUMMYFUNCTION("""COMPUTED_VALUE"""),0.033900462962962966)</f>
        <v>0.03390046296</v>
      </c>
      <c r="Q54" s="151"/>
      <c r="R54" s="140"/>
      <c r="S54" s="140"/>
    </row>
    <row r="55" ht="33.75" customHeight="1">
      <c r="A55" s="140"/>
      <c r="B55" s="140"/>
      <c r="C55" s="147">
        <f>IFERROR(__xludf.DUMMYFUNCTION("""COMPUTED_VALUE"""),3129470.0)</f>
        <v>3129470</v>
      </c>
      <c r="D55" s="148" t="str">
        <f>IFERROR(__xludf.DUMMYFUNCTION("""COMPUTED_VALUE"""),"Introduction to Disciplined Agile")</f>
        <v>Introduction to Disciplined Agile</v>
      </c>
      <c r="E55" s="147" t="str">
        <f>IFERROR(__xludf.DUMMYFUNCTION("""COMPUTED_VALUE"""),"General")</f>
        <v>General</v>
      </c>
      <c r="F55" s="141" t="str">
        <f>IFERROR(__xludf.DUMMYFUNCTION("""COMPUTED_VALUE"""),"Beginner + Intermediate")</f>
        <v>Beginner + Intermediate</v>
      </c>
      <c r="G55" s="143">
        <f>IFERROR(__xludf.DUMMYFUNCTION("""COMPUTED_VALUE"""),0.04142361111111111)</f>
        <v>0.04142361111</v>
      </c>
      <c r="H55" s="151"/>
      <c r="I55" s="140"/>
      <c r="J55" s="140"/>
      <c r="K55" s="140"/>
      <c r="L55" s="147">
        <f>IFERROR(__xludf.DUMMYFUNCTION("""COMPUTED_VALUE"""),2878239.0)</f>
        <v>2878239</v>
      </c>
      <c r="M55" s="148" t="str">
        <f>IFERROR(__xludf.DUMMYFUNCTION("""COMPUTED_VALUE"""),"Overcoming Rejection")</f>
        <v>Overcoming Rejection</v>
      </c>
      <c r="N55" s="147" t="str">
        <f>IFERROR(__xludf.DUMMYFUNCTION("""COMPUTED_VALUE"""),"General")</f>
        <v>General</v>
      </c>
      <c r="O55" s="141" t="str">
        <f>IFERROR(__xludf.DUMMYFUNCTION("""COMPUTED_VALUE"""),"Beginner")</f>
        <v>Beginner</v>
      </c>
      <c r="P55" s="143">
        <f>IFERROR(__xludf.DUMMYFUNCTION("""COMPUTED_VALUE"""),0.038356481481481484)</f>
        <v>0.03835648148</v>
      </c>
      <c r="Q55" s="151"/>
      <c r="R55" s="140"/>
      <c r="S55" s="140"/>
    </row>
    <row r="56" ht="33.75" customHeight="1">
      <c r="A56" s="140"/>
      <c r="B56" s="140"/>
      <c r="C56" s="147">
        <f>IFERROR(__xludf.DUMMYFUNCTION("""COMPUTED_VALUE"""),3018273.0)</f>
        <v>3018273</v>
      </c>
      <c r="D56" s="148" t="str">
        <f>IFERROR(__xludf.DUMMYFUNCTION("""COMPUTED_VALUE"""),"What Is Program Management?")</f>
        <v>What Is Program Management?</v>
      </c>
      <c r="E56" s="147" t="str">
        <f>IFERROR(__xludf.DUMMYFUNCTION("""COMPUTED_VALUE"""),"General")</f>
        <v>General</v>
      </c>
      <c r="F56" s="141" t="str">
        <f>IFERROR(__xludf.DUMMYFUNCTION("""COMPUTED_VALUE"""),"General")</f>
        <v>General</v>
      </c>
      <c r="G56" s="143">
        <f>IFERROR(__xludf.DUMMYFUNCTION("""COMPUTED_VALUE"""),0.011550925925925926)</f>
        <v>0.01155092593</v>
      </c>
      <c r="H56" s="151"/>
      <c r="I56" s="140"/>
      <c r="J56" s="140"/>
      <c r="K56" s="140"/>
      <c r="L56" s="147">
        <f>IFERROR(__xludf.DUMMYFUNCTION("""COMPUTED_VALUE"""),2880193.0)</f>
        <v>2880193</v>
      </c>
      <c r="M56" s="148" t="str">
        <f>IFERROR(__xludf.DUMMYFUNCTION("""COMPUTED_VALUE"""),"The 52 Best Sales Prospecting Tips")</f>
        <v>The 52 Best Sales Prospecting Tips</v>
      </c>
      <c r="N56" s="147" t="str">
        <f>IFERROR(__xludf.DUMMYFUNCTION("""COMPUTED_VALUE"""),"General")</f>
        <v>General</v>
      </c>
      <c r="O56" s="141" t="str">
        <f>IFERROR(__xludf.DUMMYFUNCTION("""COMPUTED_VALUE"""),"Beginner")</f>
        <v>Beginner</v>
      </c>
      <c r="P56" s="143">
        <f>IFERROR(__xludf.DUMMYFUNCTION("""COMPUTED_VALUE"""),0.10962962962962963)</f>
        <v>0.1096296296</v>
      </c>
      <c r="Q56" s="151"/>
      <c r="R56" s="140"/>
      <c r="S56" s="140"/>
    </row>
    <row r="57" ht="33.75" customHeight="1">
      <c r="A57" s="140"/>
      <c r="B57" s="140"/>
      <c r="C57" s="147">
        <f>IFERROR(__xludf.DUMMYFUNCTION("""COMPUTED_VALUE"""),774893.0)</f>
        <v>774893</v>
      </c>
      <c r="D57" s="148" t="str">
        <f>IFERROR(__xludf.DUMMYFUNCTION("""COMPUTED_VALUE"""),"Project Management Foundations: Communication")</f>
        <v>Project Management Foundations: Communication</v>
      </c>
      <c r="E57" s="147" t="str">
        <f>IFERROR(__xludf.DUMMYFUNCTION("""COMPUTED_VALUE"""),"General")</f>
        <v>General</v>
      </c>
      <c r="F57" s="141" t="str">
        <f>IFERROR(__xludf.DUMMYFUNCTION("""COMPUTED_VALUE"""),"General")</f>
        <v>General</v>
      </c>
      <c r="G57" s="143">
        <f>IFERROR(__xludf.DUMMYFUNCTION("""COMPUTED_VALUE"""),0.04258101851851852)</f>
        <v>0.04258101852</v>
      </c>
      <c r="H57" s="151"/>
      <c r="I57" s="140"/>
      <c r="J57" s="140"/>
      <c r="K57" s="140"/>
      <c r="L57" s="147">
        <f>IFERROR(__xludf.DUMMYFUNCTION("""COMPUTED_VALUE"""),2886192.0)</f>
        <v>2886192</v>
      </c>
      <c r="M57" s="148" t="str">
        <f>IFERROR(__xludf.DUMMYFUNCTION("""COMPUTED_VALUE"""),"Sales Time Management")</f>
        <v>Sales Time Management</v>
      </c>
      <c r="N57" s="147" t="str">
        <f>IFERROR(__xludf.DUMMYFUNCTION("""COMPUTED_VALUE"""),"General")</f>
        <v>General</v>
      </c>
      <c r="O57" s="141" t="str">
        <f>IFERROR(__xludf.DUMMYFUNCTION("""COMPUTED_VALUE"""),"Beginner")</f>
        <v>Beginner</v>
      </c>
      <c r="P57" s="143">
        <f>IFERROR(__xludf.DUMMYFUNCTION("""COMPUTED_VALUE"""),0.03040509259259259)</f>
        <v>0.03040509259</v>
      </c>
      <c r="Q57" s="151"/>
      <c r="R57" s="140"/>
      <c r="S57" s="140"/>
    </row>
    <row r="58" ht="33.75" customHeight="1">
      <c r="A58" s="140"/>
      <c r="B58" s="140"/>
      <c r="C58" s="147">
        <f>IFERROR(__xludf.DUMMYFUNCTION("""COMPUTED_VALUE"""),2824220.0)</f>
        <v>2824220</v>
      </c>
      <c r="D58" s="148" t="str">
        <f>IFERROR(__xludf.DUMMYFUNCTION("""COMPUTED_VALUE"""),"What Is a PMO?")</f>
        <v>What Is a PMO?</v>
      </c>
      <c r="E58" s="147" t="str">
        <f>IFERROR(__xludf.DUMMYFUNCTION("""COMPUTED_VALUE"""),"General")</f>
        <v>General</v>
      </c>
      <c r="F58" s="141" t="str">
        <f>IFERROR(__xludf.DUMMYFUNCTION("""COMPUTED_VALUE"""),"General")</f>
        <v>General</v>
      </c>
      <c r="G58" s="143">
        <f>IFERROR(__xludf.DUMMYFUNCTION("""COMPUTED_VALUE"""),0.007789351851851852)</f>
        <v>0.007789351852</v>
      </c>
      <c r="H58" s="151"/>
      <c r="I58" s="140"/>
      <c r="J58" s="140"/>
      <c r="K58" s="140"/>
      <c r="L58" s="147">
        <f>IFERROR(__xludf.DUMMYFUNCTION("""COMPUTED_VALUE"""),2883252.0)</f>
        <v>2883252</v>
      </c>
      <c r="M58" s="148" t="str">
        <f>IFERROR(__xludf.DUMMYFUNCTION("""COMPUTED_VALUE"""),"How to Prepare for Your Negotiations")</f>
        <v>How to Prepare for Your Negotiations</v>
      </c>
      <c r="N58" s="147" t="str">
        <f>IFERROR(__xludf.DUMMYFUNCTION("""COMPUTED_VALUE"""),"General")</f>
        <v>General</v>
      </c>
      <c r="O58" s="141" t="str">
        <f>IFERROR(__xludf.DUMMYFUNCTION("""COMPUTED_VALUE"""),"Beginner")</f>
        <v>Beginner</v>
      </c>
      <c r="P58" s="143">
        <f>IFERROR(__xludf.DUMMYFUNCTION("""COMPUTED_VALUE"""),0.011782407407407408)</f>
        <v>0.01178240741</v>
      </c>
      <c r="Q58" s="151"/>
      <c r="R58" s="140"/>
      <c r="S58" s="140"/>
    </row>
    <row r="59" ht="33.75" customHeight="1">
      <c r="A59" s="140"/>
      <c r="B59" s="140"/>
      <c r="C59" s="147">
        <f>IFERROR(__xludf.DUMMYFUNCTION("""COMPUTED_VALUE"""),2824219.0)</f>
        <v>2824219</v>
      </c>
      <c r="D59" s="148" t="str">
        <f>IFERROR(__xludf.DUMMYFUNCTION("""COMPUTED_VALUE"""),"What Is Scrum?")</f>
        <v>What Is Scrum?</v>
      </c>
      <c r="E59" s="147" t="str">
        <f>IFERROR(__xludf.DUMMYFUNCTION("""COMPUTED_VALUE"""),"General")</f>
        <v>General</v>
      </c>
      <c r="F59" s="141" t="str">
        <f>IFERROR(__xludf.DUMMYFUNCTION("""COMPUTED_VALUE"""),"General")</f>
        <v>General</v>
      </c>
      <c r="G59" s="143">
        <f>IFERROR(__xludf.DUMMYFUNCTION("""COMPUTED_VALUE"""),0.0068865740740740745)</f>
        <v>0.006886574074</v>
      </c>
      <c r="H59" s="151"/>
      <c r="I59" s="140"/>
      <c r="J59" s="140"/>
      <c r="K59" s="140"/>
      <c r="L59" s="147">
        <f>IFERROR(__xludf.DUMMYFUNCTION("""COMPUTED_VALUE"""),2883253.0)</f>
        <v>2883253</v>
      </c>
      <c r="M59" s="148" t="str">
        <f>IFERROR(__xludf.DUMMYFUNCTION("""COMPUTED_VALUE"""),"Three Tips for Dealing with Deception in Negotiations")</f>
        <v>Three Tips for Dealing with Deception in Negotiations</v>
      </c>
      <c r="N59" s="147" t="str">
        <f>IFERROR(__xludf.DUMMYFUNCTION("""COMPUTED_VALUE"""),"General")</f>
        <v>General</v>
      </c>
      <c r="O59" s="141" t="str">
        <f>IFERROR(__xludf.DUMMYFUNCTION("""COMPUTED_VALUE"""),"Beginner")</f>
        <v>Beginner</v>
      </c>
      <c r="P59" s="143">
        <f>IFERROR(__xludf.DUMMYFUNCTION("""COMPUTED_VALUE"""),0.023344907407407408)</f>
        <v>0.02334490741</v>
      </c>
      <c r="Q59" s="151"/>
      <c r="R59" s="140"/>
      <c r="S59" s="140"/>
    </row>
    <row r="60" ht="33.75" customHeight="1">
      <c r="A60" s="140"/>
      <c r="B60" s="140"/>
      <c r="C60" s="147">
        <f>IFERROR(__xludf.DUMMYFUNCTION("""COMPUTED_VALUE"""),2836016.0)</f>
        <v>2836016</v>
      </c>
      <c r="D60" s="148" t="str">
        <f>IFERROR(__xludf.DUMMYFUNCTION("""COMPUTED_VALUE"""),"How to Create and Run a Brilliant Remote Workshop")</f>
        <v>How to Create and Run a Brilliant Remote Workshop</v>
      </c>
      <c r="E60" s="147" t="str">
        <f>IFERROR(__xludf.DUMMYFUNCTION("""COMPUTED_VALUE"""),"General")</f>
        <v>General</v>
      </c>
      <c r="F60" s="141" t="str">
        <f>IFERROR(__xludf.DUMMYFUNCTION("""COMPUTED_VALUE"""),"General")</f>
        <v>General</v>
      </c>
      <c r="G60" s="143">
        <f>IFERROR(__xludf.DUMMYFUNCTION("""COMPUTED_VALUE"""),0.03394675925925926)</f>
        <v>0.03394675926</v>
      </c>
      <c r="H60" s="151"/>
      <c r="I60" s="140"/>
      <c r="J60" s="140"/>
      <c r="K60" s="140"/>
      <c r="L60" s="147">
        <f>IFERROR(__xludf.DUMMYFUNCTION("""COMPUTED_VALUE"""),2886306.0)</f>
        <v>2886306</v>
      </c>
      <c r="M60" s="148" t="str">
        <f>IFERROR(__xludf.DUMMYFUNCTION("""COMPUTED_VALUE"""),"The Top Three Negotiation Myths")</f>
        <v>The Top Three Negotiation Myths</v>
      </c>
      <c r="N60" s="147" t="str">
        <f>IFERROR(__xludf.DUMMYFUNCTION("""COMPUTED_VALUE"""),"General")</f>
        <v>General</v>
      </c>
      <c r="O60" s="141" t="str">
        <f>IFERROR(__xludf.DUMMYFUNCTION("""COMPUTED_VALUE"""),"Beginner")</f>
        <v>Beginner</v>
      </c>
      <c r="P60" s="143">
        <f>IFERROR(__xludf.DUMMYFUNCTION("""COMPUTED_VALUE"""),0.019814814814814816)</f>
        <v>0.01981481481</v>
      </c>
      <c r="Q60" s="151"/>
      <c r="R60" s="140"/>
      <c r="S60" s="140"/>
    </row>
    <row r="61" ht="33.75" customHeight="1">
      <c r="A61" s="140"/>
      <c r="B61" s="140"/>
      <c r="C61" s="147">
        <f>IFERROR(__xludf.DUMMYFUNCTION("""COMPUTED_VALUE"""),2820009.0)</f>
        <v>2820009</v>
      </c>
      <c r="D61" s="148" t="str">
        <f>IFERROR(__xludf.DUMMYFUNCTION("""COMPUTED_VALUE"""),"Comparing Agile versus Waterfall Project Management")</f>
        <v>Comparing Agile versus Waterfall Project Management</v>
      </c>
      <c r="E61" s="147" t="str">
        <f>IFERROR(__xludf.DUMMYFUNCTION("""COMPUTED_VALUE"""),"General")</f>
        <v>General</v>
      </c>
      <c r="F61" s="141" t="str">
        <f>IFERROR(__xludf.DUMMYFUNCTION("""COMPUTED_VALUE"""),"General")</f>
        <v>General</v>
      </c>
      <c r="G61" s="143">
        <f>IFERROR(__xludf.DUMMYFUNCTION("""COMPUTED_VALUE"""),0.08025462962962963)</f>
        <v>0.08025462963</v>
      </c>
      <c r="H61" s="151"/>
      <c r="I61" s="140"/>
      <c r="J61" s="140"/>
      <c r="K61" s="140"/>
      <c r="L61" s="147">
        <f>IFERROR(__xludf.DUMMYFUNCTION("""COMPUTED_VALUE"""),2887333.0)</f>
        <v>2887333</v>
      </c>
      <c r="M61" s="148" t="str">
        <f>IFERROR(__xludf.DUMMYFUNCTION("""COMPUTED_VALUE"""),"How to Save Face in a Negotiation")</f>
        <v>How to Save Face in a Negotiation</v>
      </c>
      <c r="N61" s="147" t="str">
        <f>IFERROR(__xludf.DUMMYFUNCTION("""COMPUTED_VALUE"""),"General")</f>
        <v>General</v>
      </c>
      <c r="O61" s="141" t="str">
        <f>IFERROR(__xludf.DUMMYFUNCTION("""COMPUTED_VALUE"""),"Beginner")</f>
        <v>Beginner</v>
      </c>
      <c r="P61" s="143">
        <f>IFERROR(__xludf.DUMMYFUNCTION("""COMPUTED_VALUE"""),0.018414351851851852)</f>
        <v>0.01841435185</v>
      </c>
      <c r="Q61" s="151"/>
      <c r="R61" s="140"/>
      <c r="S61" s="140"/>
    </row>
    <row r="62" ht="33.75" customHeight="1">
      <c r="A62" s="140"/>
      <c r="B62" s="140"/>
      <c r="C62" s="147">
        <f>IFERROR(__xludf.DUMMYFUNCTION("""COMPUTED_VALUE"""),2822042.0)</f>
        <v>2822042</v>
      </c>
      <c r="D62" s="148" t="str">
        <f>IFERROR(__xludf.DUMMYFUNCTION("""COMPUTED_VALUE"""),"LinkedIn Learning Highlights: Project Management")</f>
        <v>LinkedIn Learning Highlights: Project Management</v>
      </c>
      <c r="E62" s="147" t="str">
        <f>IFERROR(__xludf.DUMMYFUNCTION("""COMPUTED_VALUE"""),"General")</f>
        <v>General</v>
      </c>
      <c r="F62" s="141" t="str">
        <f>IFERROR(__xludf.DUMMYFUNCTION("""COMPUTED_VALUE"""),"General")</f>
        <v>General</v>
      </c>
      <c r="G62" s="143">
        <f>IFERROR(__xludf.DUMMYFUNCTION("""COMPUTED_VALUE"""),0.027511574074074074)</f>
        <v>0.02751157407</v>
      </c>
      <c r="H62" s="151"/>
      <c r="I62" s="140"/>
      <c r="J62" s="140"/>
      <c r="K62" s="140"/>
      <c r="L62" s="147">
        <f>IFERROR(__xludf.DUMMYFUNCTION("""COMPUTED_VALUE"""),2887334.0)</f>
        <v>2887334</v>
      </c>
      <c r="M62" s="148" t="str">
        <f>IFERROR(__xludf.DUMMYFUNCTION("""COMPUTED_VALUE"""),"Mindsets and Strategies for Negotiation Success")</f>
        <v>Mindsets and Strategies for Negotiation Success</v>
      </c>
      <c r="N62" s="147" t="str">
        <f>IFERROR(__xludf.DUMMYFUNCTION("""COMPUTED_VALUE"""),"General")</f>
        <v>General</v>
      </c>
      <c r="O62" s="141" t="str">
        <f>IFERROR(__xludf.DUMMYFUNCTION("""COMPUTED_VALUE"""),"Beginner")</f>
        <v>Beginner</v>
      </c>
      <c r="P62" s="143">
        <f>IFERROR(__xludf.DUMMYFUNCTION("""COMPUTED_VALUE"""),0.019675925925925927)</f>
        <v>0.01967592593</v>
      </c>
      <c r="Q62" s="151"/>
      <c r="R62" s="140"/>
      <c r="S62" s="140"/>
    </row>
    <row r="63" ht="33.75" customHeight="1">
      <c r="A63" s="140"/>
      <c r="B63" s="140"/>
      <c r="C63" s="147">
        <f>IFERROR(__xludf.DUMMYFUNCTION("""COMPUTED_VALUE"""),2837263.0)</f>
        <v>2837263</v>
      </c>
      <c r="D63" s="148" t="str">
        <f>IFERROR(__xludf.DUMMYFUNCTION("""COMPUTED_VALUE"""),"Emotional Intelligence for Project Managers (Blinkist Summary)")</f>
        <v>Emotional Intelligence for Project Managers (Blinkist Summary)</v>
      </c>
      <c r="E63" s="147" t="str">
        <f>IFERROR(__xludf.DUMMYFUNCTION("""COMPUTED_VALUE"""),"General")</f>
        <v>General</v>
      </c>
      <c r="F63" s="141" t="str">
        <f>IFERROR(__xludf.DUMMYFUNCTION("""COMPUTED_VALUE"""),"General")</f>
        <v>General</v>
      </c>
      <c r="G63" s="143">
        <f>IFERROR(__xludf.DUMMYFUNCTION("""COMPUTED_VALUE"""),0.009664351851851851)</f>
        <v>0.009664351852</v>
      </c>
      <c r="H63" s="151"/>
      <c r="I63" s="140"/>
      <c r="J63" s="140"/>
      <c r="K63" s="140"/>
      <c r="L63" s="147">
        <f>IFERROR(__xludf.DUMMYFUNCTION("""COMPUTED_VALUE"""),2890117.0)</f>
        <v>2890117</v>
      </c>
      <c r="M63" s="148" t="str">
        <f>IFERROR(__xludf.DUMMYFUNCTION("""COMPUTED_VALUE"""),"Sales Well-being: Managing Anxiety, Burnout, and Rejection")</f>
        <v>Sales Well-being: Managing Anxiety, Burnout, and Rejection</v>
      </c>
      <c r="N63" s="147" t="str">
        <f>IFERROR(__xludf.DUMMYFUNCTION("""COMPUTED_VALUE"""),"General")</f>
        <v>General</v>
      </c>
      <c r="O63" s="141" t="str">
        <f>IFERROR(__xludf.DUMMYFUNCTION("""COMPUTED_VALUE"""),"Beginner")</f>
        <v>Beginner</v>
      </c>
      <c r="P63" s="143">
        <f>IFERROR(__xludf.DUMMYFUNCTION("""COMPUTED_VALUE"""),0.032164351851851854)</f>
        <v>0.03216435185</v>
      </c>
      <c r="Q63" s="151"/>
      <c r="R63" s="140"/>
      <c r="S63" s="140"/>
    </row>
    <row r="64" ht="33.75" customHeight="1">
      <c r="A64" s="140"/>
      <c r="B64" s="140"/>
      <c r="C64" s="147">
        <f>IFERROR(__xludf.DUMMYFUNCTION("""COMPUTED_VALUE"""),2839078.0)</f>
        <v>2839078</v>
      </c>
      <c r="D64" s="148" t="str">
        <f>IFERROR(__xludf.DUMMYFUNCTION("""COMPUTED_VALUE"""),"Gemba Kaizen: A Commonsense Approach to Continuous Improvement (Blinkist Summary)")</f>
        <v>Gemba Kaizen: A Commonsense Approach to Continuous Improvement (Blinkist Summary)</v>
      </c>
      <c r="E64" s="147" t="str">
        <f>IFERROR(__xludf.DUMMYFUNCTION("""COMPUTED_VALUE"""),"General")</f>
        <v>General</v>
      </c>
      <c r="F64" s="141" t="str">
        <f>IFERROR(__xludf.DUMMYFUNCTION("""COMPUTED_VALUE"""),"General")</f>
        <v>General</v>
      </c>
      <c r="G64" s="143">
        <f>IFERROR(__xludf.DUMMYFUNCTION("""COMPUTED_VALUE"""),0.011747685185185186)</f>
        <v>0.01174768519</v>
      </c>
      <c r="H64" s="151"/>
      <c r="I64" s="140"/>
      <c r="J64" s="140"/>
      <c r="K64" s="140"/>
      <c r="L64" s="147">
        <f>IFERROR(__xludf.DUMMYFUNCTION("""COMPUTED_VALUE"""),2421703.0)</f>
        <v>2421703</v>
      </c>
      <c r="M64" s="148" t="str">
        <f>IFERROR(__xludf.DUMMYFUNCTION("""COMPUTED_VALUE"""),"Startup Stories: Clothing Salesman Invents Baby Harness")</f>
        <v>Startup Stories: Clothing Salesman Invents Baby Harness</v>
      </c>
      <c r="N64" s="147" t="str">
        <f>IFERROR(__xludf.DUMMYFUNCTION("""COMPUTED_VALUE"""),"General")</f>
        <v>General</v>
      </c>
      <c r="O64" s="141" t="str">
        <f>IFERROR(__xludf.DUMMYFUNCTION("""COMPUTED_VALUE"""),"Beginner")</f>
        <v>Beginner</v>
      </c>
      <c r="P64" s="143">
        <f>IFERROR(__xludf.DUMMYFUNCTION("""COMPUTED_VALUE"""),0.007453703703703704)</f>
        <v>0.007453703704</v>
      </c>
      <c r="Q64" s="151"/>
      <c r="R64" s="140"/>
      <c r="S64" s="140"/>
    </row>
    <row r="65" ht="33.75" customHeight="1">
      <c r="A65" s="140"/>
      <c r="B65" s="140"/>
      <c r="C65" s="147">
        <f>IFERROR(__xludf.DUMMYFUNCTION("""COMPUTED_VALUE"""),3129471.0)</f>
        <v>3129471</v>
      </c>
      <c r="D65" s="148" t="str">
        <f>IFERROR(__xludf.DUMMYFUNCTION("""COMPUTED_VALUE"""),"Become a Project Management Entrepreneur")</f>
        <v>Become a Project Management Entrepreneur</v>
      </c>
      <c r="E65" s="147" t="str">
        <f>IFERROR(__xludf.DUMMYFUNCTION("""COMPUTED_VALUE"""),"General")</f>
        <v>General</v>
      </c>
      <c r="F65" s="141" t="str">
        <f>IFERROR(__xludf.DUMMYFUNCTION("""COMPUTED_VALUE"""),"General")</f>
        <v>General</v>
      </c>
      <c r="G65" s="143">
        <f>IFERROR(__xludf.DUMMYFUNCTION("""COMPUTED_VALUE"""),0.020243055555555556)</f>
        <v>0.02024305556</v>
      </c>
      <c r="H65" s="151"/>
      <c r="I65" s="140"/>
      <c r="J65" s="140"/>
      <c r="K65" s="140"/>
      <c r="L65" s="147">
        <f>IFERROR(__xludf.DUMMYFUNCTION("""COMPUTED_VALUE"""),3157766.0)</f>
        <v>3157766</v>
      </c>
      <c r="M65" s="148" t="str">
        <f>IFERROR(__xludf.DUMMYFUNCTION("""COMPUTED_VALUE"""),"Aftersale: Maintaining Relationships")</f>
        <v>Aftersale: Maintaining Relationships</v>
      </c>
      <c r="N65" s="147" t="str">
        <f>IFERROR(__xludf.DUMMYFUNCTION("""COMPUTED_VALUE"""),"General")</f>
        <v>General</v>
      </c>
      <c r="O65" s="141" t="str">
        <f>IFERROR(__xludf.DUMMYFUNCTION("""COMPUTED_VALUE"""),"Beginner")</f>
        <v>Beginner</v>
      </c>
      <c r="P65" s="143">
        <f>IFERROR(__xludf.DUMMYFUNCTION("""COMPUTED_VALUE"""),0.025138888888888888)</f>
        <v>0.02513888889</v>
      </c>
      <c r="Q65" s="151"/>
      <c r="R65" s="140"/>
      <c r="S65" s="140"/>
    </row>
    <row r="66" ht="33.75" customHeight="1">
      <c r="A66" s="140"/>
      <c r="B66" s="140"/>
      <c r="C66" s="147">
        <f>IFERROR(__xludf.DUMMYFUNCTION("""COMPUTED_VALUE"""),2875306.0)</f>
        <v>2875306</v>
      </c>
      <c r="D66" s="148" t="str">
        <f>IFERROR(__xludf.DUMMYFUNCTION("""COMPUTED_VALUE"""),"Managing Change on an Agile Project")</f>
        <v>Managing Change on an Agile Project</v>
      </c>
      <c r="E66" s="147" t="str">
        <f>IFERROR(__xludf.DUMMYFUNCTION("""COMPUTED_VALUE"""),"General")</f>
        <v>General</v>
      </c>
      <c r="F66" s="141" t="str">
        <f>IFERROR(__xludf.DUMMYFUNCTION("""COMPUTED_VALUE"""),"General")</f>
        <v>General</v>
      </c>
      <c r="G66" s="143">
        <f>IFERROR(__xludf.DUMMYFUNCTION("""COMPUTED_VALUE"""),0.02596064814814815)</f>
        <v>0.02596064815</v>
      </c>
      <c r="H66" s="151"/>
      <c r="I66" s="140"/>
      <c r="J66" s="140"/>
      <c r="K66" s="140"/>
      <c r="L66" s="147">
        <f>IFERROR(__xludf.DUMMYFUNCTION("""COMPUTED_VALUE"""),2896814.0)</f>
        <v>2896814</v>
      </c>
      <c r="M66" s="148" t="str">
        <f>IFERROR(__xludf.DUMMYFUNCTION("""COMPUTED_VALUE"""),"Reframing to Overcome Sales Objections")</f>
        <v>Reframing to Overcome Sales Objections</v>
      </c>
      <c r="N66" s="147" t="str">
        <f>IFERROR(__xludf.DUMMYFUNCTION("""COMPUTED_VALUE"""),"General")</f>
        <v>General</v>
      </c>
      <c r="O66" s="141" t="str">
        <f>IFERROR(__xludf.DUMMYFUNCTION("""COMPUTED_VALUE"""),"Beginner")</f>
        <v>Beginner</v>
      </c>
      <c r="P66" s="143">
        <f>IFERROR(__xludf.DUMMYFUNCTION("""COMPUTED_VALUE"""),0.02914351851851852)</f>
        <v>0.02914351852</v>
      </c>
      <c r="Q66" s="151"/>
      <c r="R66" s="140"/>
      <c r="S66" s="140"/>
    </row>
    <row r="67" ht="33.75" customHeight="1">
      <c r="A67" s="140"/>
      <c r="B67" s="140"/>
      <c r="C67" s="147">
        <f>IFERROR(__xludf.DUMMYFUNCTION("""COMPUTED_VALUE"""),2422738.0)</f>
        <v>2422738</v>
      </c>
      <c r="D67" s="148" t="str">
        <f>IFERROR(__xludf.DUMMYFUNCTION("""COMPUTED_VALUE"""),"Why Projects Fail and How to Improve Their Success")</f>
        <v>Why Projects Fail and How to Improve Their Success</v>
      </c>
      <c r="E67" s="147" t="str">
        <f>IFERROR(__xludf.DUMMYFUNCTION("""COMPUTED_VALUE"""),"General")</f>
        <v>General</v>
      </c>
      <c r="F67" s="141" t="str">
        <f>IFERROR(__xludf.DUMMYFUNCTION("""COMPUTED_VALUE"""),"General")</f>
        <v>General</v>
      </c>
      <c r="G67" s="143">
        <f>IFERROR(__xludf.DUMMYFUNCTION("""COMPUTED_VALUE"""),0.03635416666666667)</f>
        <v>0.03635416667</v>
      </c>
      <c r="H67" s="151"/>
      <c r="I67" s="140"/>
      <c r="J67" s="140"/>
      <c r="K67" s="140"/>
      <c r="L67" s="147">
        <f>IFERROR(__xludf.DUMMYFUNCTION("""COMPUTED_VALUE"""),3002670.0)</f>
        <v>3002670</v>
      </c>
      <c r="M67" s="148" t="str">
        <f>IFERROR(__xludf.DUMMYFUNCTION("""COMPUTED_VALUE"""),"How to Overcome a Sales Slump")</f>
        <v>How to Overcome a Sales Slump</v>
      </c>
      <c r="N67" s="147" t="str">
        <f>IFERROR(__xludf.DUMMYFUNCTION("""COMPUTED_VALUE"""),"General")</f>
        <v>General</v>
      </c>
      <c r="O67" s="141" t="str">
        <f>IFERROR(__xludf.DUMMYFUNCTION("""COMPUTED_VALUE"""),"Beginner")</f>
        <v>Beginner</v>
      </c>
      <c r="P67" s="143">
        <f>IFERROR(__xludf.DUMMYFUNCTION("""COMPUTED_VALUE"""),0.020775462962962964)</f>
        <v>0.02077546296</v>
      </c>
      <c r="Q67" s="151"/>
      <c r="R67" s="140"/>
      <c r="S67" s="140"/>
    </row>
    <row r="68" ht="33.75" customHeight="1">
      <c r="A68" s="140"/>
      <c r="B68" s="140"/>
      <c r="C68" s="147">
        <f>IFERROR(__xludf.DUMMYFUNCTION("""COMPUTED_VALUE"""),2423501.0)</f>
        <v>2423501</v>
      </c>
      <c r="D68" s="148" t="str">
        <f>IFERROR(__xludf.DUMMYFUNCTION("""COMPUTED_VALUE"""),"Change Management with Limited Resources")</f>
        <v>Change Management with Limited Resources</v>
      </c>
      <c r="E68" s="147" t="str">
        <f>IFERROR(__xludf.DUMMYFUNCTION("""COMPUTED_VALUE"""),"General")</f>
        <v>General</v>
      </c>
      <c r="F68" s="141" t="str">
        <f>IFERROR(__xludf.DUMMYFUNCTION("""COMPUTED_VALUE"""),"General")</f>
        <v>General</v>
      </c>
      <c r="G68" s="143">
        <f>IFERROR(__xludf.DUMMYFUNCTION("""COMPUTED_VALUE"""),0.025752314814814815)</f>
        <v>0.02575231481</v>
      </c>
      <c r="H68" s="151"/>
      <c r="I68" s="140"/>
      <c r="J68" s="140"/>
      <c r="K68" s="140"/>
      <c r="L68" s="147">
        <f>IFERROR(__xludf.DUMMYFUNCTION("""COMPUTED_VALUE"""),2863038.0)</f>
        <v>2863038</v>
      </c>
      <c r="M68" s="148" t="str">
        <f>IFERROR(__xludf.DUMMYFUNCTION("""COMPUTED_VALUE"""),"Creating Powerful Sales Proposals")</f>
        <v>Creating Powerful Sales Proposals</v>
      </c>
      <c r="N68" s="147" t="str">
        <f>IFERROR(__xludf.DUMMYFUNCTION("""COMPUTED_VALUE"""),"General")</f>
        <v>General</v>
      </c>
      <c r="O68" s="141" t="str">
        <f>IFERROR(__xludf.DUMMYFUNCTION("""COMPUTED_VALUE"""),"Beginner + Intermediate")</f>
        <v>Beginner + Intermediate</v>
      </c>
      <c r="P68" s="143">
        <f>IFERROR(__xludf.DUMMYFUNCTION("""COMPUTED_VALUE"""),0.027939814814814813)</f>
        <v>0.02793981481</v>
      </c>
      <c r="Q68" s="151"/>
      <c r="R68" s="140"/>
      <c r="S68" s="140"/>
    </row>
    <row r="69" ht="33.75" customHeight="1">
      <c r="A69" s="140"/>
      <c r="B69" s="140"/>
      <c r="C69" s="147">
        <f>IFERROR(__xludf.DUMMYFUNCTION("""COMPUTED_VALUE"""),2427503.0)</f>
        <v>2427503</v>
      </c>
      <c r="D69" s="148" t="str">
        <f>IFERROR(__xludf.DUMMYFUNCTION("""COMPUTED_VALUE"""),"Data-Driven Project Management: Project Metrics That Matter")</f>
        <v>Data-Driven Project Management: Project Metrics That Matter</v>
      </c>
      <c r="E69" s="147" t="str">
        <f>IFERROR(__xludf.DUMMYFUNCTION("""COMPUTED_VALUE"""),"General")</f>
        <v>General</v>
      </c>
      <c r="F69" s="141" t="str">
        <f>IFERROR(__xludf.DUMMYFUNCTION("""COMPUTED_VALUE"""),"Intermediate")</f>
        <v>Intermediate</v>
      </c>
      <c r="G69" s="143">
        <f>IFERROR(__xludf.DUMMYFUNCTION("""COMPUTED_VALUE"""),0.05462962962962963)</f>
        <v>0.05462962963</v>
      </c>
      <c r="H69" s="151"/>
      <c r="I69" s="140"/>
      <c r="J69" s="140"/>
      <c r="K69" s="140"/>
      <c r="L69" s="147">
        <f>IFERROR(__xludf.DUMMYFUNCTION("""COMPUTED_VALUE"""),193711.0)</f>
        <v>193711</v>
      </c>
      <c r="M69" s="148" t="str">
        <f>IFERROR(__xludf.DUMMYFUNCTION("""COMPUTED_VALUE"""),"The Science of Sales")</f>
        <v>The Science of Sales</v>
      </c>
      <c r="N69" s="147" t="str">
        <f>IFERROR(__xludf.DUMMYFUNCTION("""COMPUTED_VALUE"""),"General")</f>
        <v>General</v>
      </c>
      <c r="O69" s="141" t="str">
        <f>IFERROR(__xludf.DUMMYFUNCTION("""COMPUTED_VALUE"""),"Intermediate")</f>
        <v>Intermediate</v>
      </c>
      <c r="P69" s="143">
        <f>IFERROR(__xludf.DUMMYFUNCTION("""COMPUTED_VALUE"""),0.03954861111111111)</f>
        <v>0.03954861111</v>
      </c>
      <c r="Q69" s="151"/>
      <c r="R69" s="140"/>
      <c r="S69" s="140"/>
    </row>
    <row r="70" ht="33.75" customHeight="1">
      <c r="A70" s="140"/>
      <c r="B70" s="140"/>
      <c r="C70" s="147">
        <f>IFERROR(__xludf.DUMMYFUNCTION("""COMPUTED_VALUE"""),2822422.0)</f>
        <v>2822422</v>
      </c>
      <c r="D70" s="148" t="str">
        <f>IFERROR(__xludf.DUMMYFUNCTION("""COMPUTED_VALUE"""),"How to Successfully Lead a PMO")</f>
        <v>How to Successfully Lead a PMO</v>
      </c>
      <c r="E70" s="147" t="str">
        <f>IFERROR(__xludf.DUMMYFUNCTION("""COMPUTED_VALUE"""),"General")</f>
        <v>General</v>
      </c>
      <c r="F70" s="141" t="str">
        <f>IFERROR(__xludf.DUMMYFUNCTION("""COMPUTED_VALUE"""),"Intermediate")</f>
        <v>Intermediate</v>
      </c>
      <c r="G70" s="143">
        <f>IFERROR(__xludf.DUMMYFUNCTION("""COMPUTED_VALUE"""),0.04137731481481482)</f>
        <v>0.04137731481</v>
      </c>
      <c r="H70" s="151"/>
      <c r="I70" s="140"/>
      <c r="J70" s="140"/>
      <c r="K70" s="140"/>
      <c r="L70" s="147">
        <f>IFERROR(__xludf.DUMMYFUNCTION("""COMPUTED_VALUE"""),415358.0)</f>
        <v>415358</v>
      </c>
      <c r="M70" s="148" t="str">
        <f>IFERROR(__xludf.DUMMYFUNCTION("""COMPUTED_VALUE"""),"Sales Prospecting")</f>
        <v>Sales Prospecting</v>
      </c>
      <c r="N70" s="147" t="str">
        <f>IFERROR(__xludf.DUMMYFUNCTION("""COMPUTED_VALUE"""),"General")</f>
        <v>General</v>
      </c>
      <c r="O70" s="141" t="str">
        <f>IFERROR(__xludf.DUMMYFUNCTION("""COMPUTED_VALUE"""),"Intermediate")</f>
        <v>Intermediate</v>
      </c>
      <c r="P70" s="143">
        <f>IFERROR(__xludf.DUMMYFUNCTION("""COMPUTED_VALUE"""),0.02383101851851852)</f>
        <v>0.02383101852</v>
      </c>
      <c r="Q70" s="151"/>
      <c r="R70" s="140"/>
      <c r="S70" s="140"/>
    </row>
    <row r="71" ht="33.75" customHeight="1">
      <c r="A71" s="140"/>
      <c r="B71" s="140"/>
      <c r="C71" s="147">
        <f>IFERROR(__xludf.DUMMYFUNCTION("""COMPUTED_VALUE"""),2800329.0)</f>
        <v>2800329</v>
      </c>
      <c r="D71" s="148" t="str">
        <f>IFERROR(__xludf.DUMMYFUNCTION("""COMPUTED_VALUE"""),"Creating a Program Strategy")</f>
        <v>Creating a Program Strategy</v>
      </c>
      <c r="E71" s="147" t="str">
        <f>IFERROR(__xludf.DUMMYFUNCTION("""COMPUTED_VALUE"""),"General")</f>
        <v>General</v>
      </c>
      <c r="F71" s="141" t="str">
        <f>IFERROR(__xludf.DUMMYFUNCTION("""COMPUTED_VALUE"""),"Intermediate")</f>
        <v>Intermediate</v>
      </c>
      <c r="G71" s="143">
        <f>IFERROR(__xludf.DUMMYFUNCTION("""COMPUTED_VALUE"""),0.03144675925925926)</f>
        <v>0.03144675926</v>
      </c>
      <c r="H71" s="151"/>
      <c r="I71" s="140"/>
      <c r="J71" s="140"/>
      <c r="K71" s="140"/>
      <c r="L71" s="147">
        <f>IFERROR(__xludf.DUMMYFUNCTION("""COMPUTED_VALUE"""),415362.0)</f>
        <v>415362</v>
      </c>
      <c r="M71" s="148" t="str">
        <f>IFERROR(__xludf.DUMMYFUNCTION("""COMPUTED_VALUE"""),"Making Great Sales Presentations")</f>
        <v>Making Great Sales Presentations</v>
      </c>
      <c r="N71" s="147" t="str">
        <f>IFERROR(__xludf.DUMMYFUNCTION("""COMPUTED_VALUE"""),"General")</f>
        <v>General</v>
      </c>
      <c r="O71" s="141" t="str">
        <f>IFERROR(__xludf.DUMMYFUNCTION("""COMPUTED_VALUE"""),"Intermediate")</f>
        <v>Intermediate</v>
      </c>
      <c r="P71" s="143">
        <f>IFERROR(__xludf.DUMMYFUNCTION("""COMPUTED_VALUE"""),0.022349537037037036)</f>
        <v>0.02234953704</v>
      </c>
      <c r="Q71" s="151"/>
      <c r="R71" s="140"/>
      <c r="S71" s="140"/>
    </row>
    <row r="72" ht="33.75" customHeight="1">
      <c r="A72" s="140"/>
      <c r="B72" s="140"/>
      <c r="C72" s="147">
        <f>IFERROR(__xludf.DUMMYFUNCTION("""COMPUTED_VALUE"""),699331.0)</f>
        <v>699331</v>
      </c>
      <c r="D72" s="148" t="str">
        <f>IFERROR(__xludf.DUMMYFUNCTION("""COMPUTED_VALUE"""),"Adaptive Project Leadership")</f>
        <v>Adaptive Project Leadership</v>
      </c>
      <c r="E72" s="147" t="str">
        <f>IFERROR(__xludf.DUMMYFUNCTION("""COMPUTED_VALUE"""),"General")</f>
        <v>General</v>
      </c>
      <c r="F72" s="141" t="str">
        <f>IFERROR(__xludf.DUMMYFUNCTION("""COMPUTED_VALUE"""),"Intermediate")</f>
        <v>Intermediate</v>
      </c>
      <c r="G72" s="143">
        <f>IFERROR(__xludf.DUMMYFUNCTION("""COMPUTED_VALUE"""),0.03329861111111111)</f>
        <v>0.03329861111</v>
      </c>
      <c r="H72" s="151"/>
      <c r="I72" s="140"/>
      <c r="J72" s="140"/>
      <c r="K72" s="140"/>
      <c r="L72" s="147">
        <f>IFERROR(__xludf.DUMMYFUNCTION("""COMPUTED_VALUE"""),460440.0)</f>
        <v>460440</v>
      </c>
      <c r="M72" s="148" t="str">
        <f>IFERROR(__xludf.DUMMYFUNCTION("""COMPUTED_VALUE"""),"Identify Sales Growth Opportunities")</f>
        <v>Identify Sales Growth Opportunities</v>
      </c>
      <c r="N72" s="147" t="str">
        <f>IFERROR(__xludf.DUMMYFUNCTION("""COMPUTED_VALUE"""),"General")</f>
        <v>General</v>
      </c>
      <c r="O72" s="141" t="str">
        <f>IFERROR(__xludf.DUMMYFUNCTION("""COMPUTED_VALUE"""),"Intermediate")</f>
        <v>Intermediate</v>
      </c>
      <c r="P72" s="143">
        <f>IFERROR(__xludf.DUMMYFUNCTION("""COMPUTED_VALUE"""),0.021493055555555557)</f>
        <v>0.02149305556</v>
      </c>
      <c r="Q72" s="151"/>
      <c r="R72" s="140"/>
      <c r="S72" s="140"/>
    </row>
    <row r="73" ht="33.75" customHeight="1">
      <c r="A73" s="140"/>
      <c r="B73" s="140"/>
      <c r="C73" s="147">
        <f>IFERROR(__xludf.DUMMYFUNCTION("""COMPUTED_VALUE"""),5019797.0)</f>
        <v>5019797</v>
      </c>
      <c r="D73" s="148" t="str">
        <f>IFERROR(__xludf.DUMMYFUNCTION("""COMPUTED_VALUE"""),"Blending Project Management Methods")</f>
        <v>Blending Project Management Methods</v>
      </c>
      <c r="E73" s="147" t="str">
        <f>IFERROR(__xludf.DUMMYFUNCTION("""COMPUTED_VALUE"""),"General")</f>
        <v>General</v>
      </c>
      <c r="F73" s="141" t="str">
        <f>IFERROR(__xludf.DUMMYFUNCTION("""COMPUTED_VALUE"""),"Intermediate")</f>
        <v>Intermediate</v>
      </c>
      <c r="G73" s="143">
        <f>IFERROR(__xludf.DUMMYFUNCTION("""COMPUTED_VALUE"""),0.042118055555555554)</f>
        <v>0.04211805556</v>
      </c>
      <c r="H73" s="151"/>
      <c r="I73" s="140"/>
      <c r="J73" s="140"/>
      <c r="K73" s="140"/>
      <c r="L73" s="147">
        <f>IFERROR(__xludf.DUMMYFUNCTION("""COMPUTED_VALUE"""),461911.0)</f>
        <v>461911</v>
      </c>
      <c r="M73" s="148" t="str">
        <f>IFERROR(__xludf.DUMMYFUNCTION("""COMPUTED_VALUE"""),"Sales Negotiation")</f>
        <v>Sales Negotiation</v>
      </c>
      <c r="N73" s="147" t="str">
        <f>IFERROR(__xludf.DUMMYFUNCTION("""COMPUTED_VALUE"""),"General")</f>
        <v>General</v>
      </c>
      <c r="O73" s="141" t="str">
        <f>IFERROR(__xludf.DUMMYFUNCTION("""COMPUTED_VALUE"""),"Intermediate")</f>
        <v>Intermediate</v>
      </c>
      <c r="P73" s="143">
        <f>IFERROR(__xludf.DUMMYFUNCTION("""COMPUTED_VALUE"""),0.04068287037037037)</f>
        <v>0.04068287037</v>
      </c>
      <c r="Q73" s="151"/>
      <c r="R73" s="140"/>
      <c r="S73" s="140"/>
    </row>
    <row r="74" ht="33.75" customHeight="1">
      <c r="A74" s="140"/>
      <c r="B74" s="140"/>
      <c r="C74" s="147">
        <f>IFERROR(__xludf.DUMMYFUNCTION("""COMPUTED_VALUE"""),604222.0)</f>
        <v>604222</v>
      </c>
      <c r="D74" s="148" t="str">
        <f>IFERROR(__xludf.DUMMYFUNCTION("""COMPUTED_VALUE"""),"Exam Tips: Certified Associate in Project Management (CAPM)®")</f>
        <v>Exam Tips: Certified Associate in Project Management (CAPM)®</v>
      </c>
      <c r="E74" s="147" t="str">
        <f>IFERROR(__xludf.DUMMYFUNCTION("""COMPUTED_VALUE"""),"General")</f>
        <v>General</v>
      </c>
      <c r="F74" s="141" t="str">
        <f>IFERROR(__xludf.DUMMYFUNCTION("""COMPUTED_VALUE"""),"Intermediate")</f>
        <v>Intermediate</v>
      </c>
      <c r="G74" s="143">
        <f>IFERROR(__xludf.DUMMYFUNCTION("""COMPUTED_VALUE"""),0.043298611111111114)</f>
        <v>0.04329861111</v>
      </c>
      <c r="H74" s="151"/>
      <c r="I74" s="140"/>
      <c r="J74" s="140"/>
      <c r="K74" s="140"/>
      <c r="L74" s="147">
        <f>IFERROR(__xludf.DUMMYFUNCTION("""COMPUTED_VALUE"""),504664.0)</f>
        <v>504664</v>
      </c>
      <c r="M74" s="148" t="str">
        <f>IFERROR(__xludf.DUMMYFUNCTION("""COMPUTED_VALUE"""),"Persuasive Selling")</f>
        <v>Persuasive Selling</v>
      </c>
      <c r="N74" s="147" t="str">
        <f>IFERROR(__xludf.DUMMYFUNCTION("""COMPUTED_VALUE"""),"General")</f>
        <v>General</v>
      </c>
      <c r="O74" s="141" t="str">
        <f>IFERROR(__xludf.DUMMYFUNCTION("""COMPUTED_VALUE"""),"Intermediate")</f>
        <v>Intermediate</v>
      </c>
      <c r="P74" s="143">
        <f>IFERROR(__xludf.DUMMYFUNCTION("""COMPUTED_VALUE"""),0.041539351851851855)</f>
        <v>0.04153935185</v>
      </c>
      <c r="Q74" s="151"/>
      <c r="R74" s="140"/>
      <c r="S74" s="140"/>
    </row>
    <row r="75" ht="33.75" customHeight="1">
      <c r="A75" s="140"/>
      <c r="B75" s="140"/>
      <c r="C75" s="147">
        <f>IFERROR(__xludf.DUMMYFUNCTION("""COMPUTED_VALUE"""),483102.0)</f>
        <v>483102</v>
      </c>
      <c r="D75" s="148" t="str">
        <f>IFERROR(__xludf.DUMMYFUNCTION("""COMPUTED_VALUE"""),"Leading Projects")</f>
        <v>Leading Projects</v>
      </c>
      <c r="E75" s="147" t="str">
        <f>IFERROR(__xludf.DUMMYFUNCTION("""COMPUTED_VALUE"""),"General")</f>
        <v>General</v>
      </c>
      <c r="F75" s="141" t="str">
        <f>IFERROR(__xludf.DUMMYFUNCTION("""COMPUTED_VALUE"""),"Intermediate")</f>
        <v>Intermediate</v>
      </c>
      <c r="G75" s="143">
        <f>IFERROR(__xludf.DUMMYFUNCTION("""COMPUTED_VALUE"""),0.09143518518518519)</f>
        <v>0.09143518519</v>
      </c>
      <c r="H75" s="151"/>
      <c r="I75" s="140"/>
      <c r="J75" s="140"/>
      <c r="K75" s="140"/>
      <c r="L75" s="147">
        <f>IFERROR(__xludf.DUMMYFUNCTION("""COMPUTED_VALUE"""),548713.0)</f>
        <v>548713</v>
      </c>
      <c r="M75" s="148" t="str">
        <f>IFERROR(__xludf.DUMMYFUNCTION("""COMPUTED_VALUE"""),"Key Account Management")</f>
        <v>Key Account Management</v>
      </c>
      <c r="N75" s="147" t="str">
        <f>IFERROR(__xludf.DUMMYFUNCTION("""COMPUTED_VALUE"""),"General")</f>
        <v>General</v>
      </c>
      <c r="O75" s="141" t="str">
        <f>IFERROR(__xludf.DUMMYFUNCTION("""COMPUTED_VALUE"""),"Intermediate")</f>
        <v>Intermediate</v>
      </c>
      <c r="P75" s="143">
        <f>IFERROR(__xludf.DUMMYFUNCTION("""COMPUTED_VALUE"""),0.031377314814814816)</f>
        <v>0.03137731481</v>
      </c>
      <c r="Q75" s="151"/>
      <c r="R75" s="140"/>
      <c r="S75" s="140"/>
    </row>
    <row r="76" ht="33.75" customHeight="1">
      <c r="A76" s="140"/>
      <c r="B76" s="140"/>
      <c r="C76" s="147">
        <f>IFERROR(__xludf.DUMMYFUNCTION("""COMPUTED_VALUE"""),630598.0)</f>
        <v>630598</v>
      </c>
      <c r="D76" s="148" t="str">
        <f>IFERROR(__xludf.DUMMYFUNCTION("""COMPUTED_VALUE"""),"Product Management: Building a Product Roadmap")</f>
        <v>Product Management: Building a Product Roadmap</v>
      </c>
      <c r="E76" s="147" t="str">
        <f>IFERROR(__xludf.DUMMYFUNCTION("""COMPUTED_VALUE"""),"General")</f>
        <v>General</v>
      </c>
      <c r="F76" s="141" t="str">
        <f>IFERROR(__xludf.DUMMYFUNCTION("""COMPUTED_VALUE"""),"Intermediate")</f>
        <v>Intermediate</v>
      </c>
      <c r="G76" s="143">
        <f>IFERROR(__xludf.DUMMYFUNCTION("""COMPUTED_VALUE"""),0.033680555555555554)</f>
        <v>0.03368055556</v>
      </c>
      <c r="H76" s="151"/>
      <c r="I76" s="140"/>
      <c r="J76" s="140"/>
      <c r="K76" s="140"/>
      <c r="L76" s="147">
        <f>IFERROR(__xludf.DUMMYFUNCTION("""COMPUTED_VALUE"""),602886.0)</f>
        <v>602886</v>
      </c>
      <c r="M76" s="148" t="str">
        <f>IFERROR(__xludf.DUMMYFUNCTION("""COMPUTED_VALUE"""),"Develop a Service Orientation")</f>
        <v>Develop a Service Orientation</v>
      </c>
      <c r="N76" s="147" t="str">
        <f>IFERROR(__xludf.DUMMYFUNCTION("""COMPUTED_VALUE"""),"General")</f>
        <v>General</v>
      </c>
      <c r="O76" s="141" t="str">
        <f>IFERROR(__xludf.DUMMYFUNCTION("""COMPUTED_VALUE"""),"Intermediate")</f>
        <v>Intermediate</v>
      </c>
      <c r="P76" s="143">
        <f>IFERROR(__xludf.DUMMYFUNCTION("""COMPUTED_VALUE"""),0.04913194444444444)</f>
        <v>0.04913194444</v>
      </c>
      <c r="Q76" s="151"/>
      <c r="R76" s="140"/>
      <c r="S76" s="140"/>
    </row>
    <row r="77" ht="33.75" customHeight="1">
      <c r="A77" s="140"/>
      <c r="B77" s="140"/>
      <c r="C77" s="147">
        <f>IFERROR(__xludf.DUMMYFUNCTION("""COMPUTED_VALUE"""),761930.0)</f>
        <v>761930</v>
      </c>
      <c r="D77" s="148" t="str">
        <f>IFERROR(__xludf.DUMMYFUNCTION("""COMPUTED_VALUE"""),"Project Management Foundations: Budgets")</f>
        <v>Project Management Foundations: Budgets</v>
      </c>
      <c r="E77" s="147" t="str">
        <f>IFERROR(__xludf.DUMMYFUNCTION("""COMPUTED_VALUE"""),"General")</f>
        <v>General</v>
      </c>
      <c r="F77" s="141" t="str">
        <f>IFERROR(__xludf.DUMMYFUNCTION("""COMPUTED_VALUE"""),"Intermediate")</f>
        <v>Intermediate</v>
      </c>
      <c r="G77" s="143">
        <f>IFERROR(__xludf.DUMMYFUNCTION("""COMPUTED_VALUE"""),0.04905092592592593)</f>
        <v>0.04905092593</v>
      </c>
      <c r="H77" s="151"/>
      <c r="I77" s="140"/>
      <c r="J77" s="140"/>
      <c r="K77" s="140"/>
      <c r="L77" s="147">
        <f>IFERROR(__xludf.DUMMYFUNCTION("""COMPUTED_VALUE"""),602887.0)</f>
        <v>602887</v>
      </c>
      <c r="M77" s="148" t="str">
        <f>IFERROR(__xludf.DUMMYFUNCTION("""COMPUTED_VALUE"""),"Sales: Customer Success")</f>
        <v>Sales: Customer Success</v>
      </c>
      <c r="N77" s="147" t="str">
        <f>IFERROR(__xludf.DUMMYFUNCTION("""COMPUTED_VALUE"""),"General")</f>
        <v>General</v>
      </c>
      <c r="O77" s="141" t="str">
        <f>IFERROR(__xludf.DUMMYFUNCTION("""COMPUTED_VALUE"""),"Intermediate")</f>
        <v>Intermediate</v>
      </c>
      <c r="P77" s="143">
        <f>IFERROR(__xludf.DUMMYFUNCTION("""COMPUTED_VALUE"""),0.04065972222222222)</f>
        <v>0.04065972222</v>
      </c>
      <c r="Q77" s="151"/>
      <c r="R77" s="140"/>
      <c r="S77" s="140"/>
    </row>
    <row r="78" ht="33.75" customHeight="1">
      <c r="A78" s="140"/>
      <c r="B78" s="140"/>
      <c r="C78" s="147">
        <f>IFERROR(__xludf.DUMMYFUNCTION("""COMPUTED_VALUE"""),761927.0)</f>
        <v>761927</v>
      </c>
      <c r="D78" s="148" t="str">
        <f>IFERROR(__xludf.DUMMYFUNCTION("""COMPUTED_VALUE"""),"Project Management Foundations: Procurement")</f>
        <v>Project Management Foundations: Procurement</v>
      </c>
      <c r="E78" s="147" t="str">
        <f>IFERROR(__xludf.DUMMYFUNCTION("""COMPUTED_VALUE"""),"General")</f>
        <v>General</v>
      </c>
      <c r="F78" s="141" t="str">
        <f>IFERROR(__xludf.DUMMYFUNCTION("""COMPUTED_VALUE"""),"Intermediate")</f>
        <v>Intermediate</v>
      </c>
      <c r="G78" s="143">
        <f>IFERROR(__xludf.DUMMYFUNCTION("""COMPUTED_VALUE"""),0.050277777777777775)</f>
        <v>0.05027777778</v>
      </c>
      <c r="H78" s="151"/>
      <c r="I78" s="140"/>
      <c r="J78" s="140"/>
      <c r="K78" s="140"/>
      <c r="L78" s="147">
        <f>IFERROR(__xludf.DUMMYFUNCTION("""COMPUTED_VALUE"""),633847.0)</f>
        <v>633847</v>
      </c>
      <c r="M78" s="148" t="str">
        <f>IFERROR(__xludf.DUMMYFUNCTION("""COMPUTED_VALUE"""),"Sales Pipeline Management")</f>
        <v>Sales Pipeline Management</v>
      </c>
      <c r="N78" s="147" t="str">
        <f>IFERROR(__xludf.DUMMYFUNCTION("""COMPUTED_VALUE"""),"General")</f>
        <v>General</v>
      </c>
      <c r="O78" s="141" t="str">
        <f>IFERROR(__xludf.DUMMYFUNCTION("""COMPUTED_VALUE"""),"Intermediate")</f>
        <v>Intermediate</v>
      </c>
      <c r="P78" s="143">
        <f>IFERROR(__xludf.DUMMYFUNCTION("""COMPUTED_VALUE"""),0.04873842592592593)</f>
        <v>0.04873842593</v>
      </c>
      <c r="Q78" s="151"/>
      <c r="R78" s="140"/>
      <c r="S78" s="140"/>
    </row>
    <row r="79" ht="33.75" customHeight="1">
      <c r="A79" s="140"/>
      <c r="B79" s="140"/>
      <c r="C79" s="147">
        <f>IFERROR(__xludf.DUMMYFUNCTION("""COMPUTED_VALUE"""),761928.0)</f>
        <v>761928</v>
      </c>
      <c r="D79" s="148" t="str">
        <f>IFERROR(__xludf.DUMMYFUNCTION("""COMPUTED_VALUE"""),"Project Management Foundations: Risk")</f>
        <v>Project Management Foundations: Risk</v>
      </c>
      <c r="E79" s="147" t="str">
        <f>IFERROR(__xludf.DUMMYFUNCTION("""COMPUTED_VALUE"""),"General")</f>
        <v>General</v>
      </c>
      <c r="F79" s="141" t="str">
        <f>IFERROR(__xludf.DUMMYFUNCTION("""COMPUTED_VALUE"""),"Intermediate")</f>
        <v>Intermediate</v>
      </c>
      <c r="G79" s="143">
        <f>IFERROR(__xludf.DUMMYFUNCTION("""COMPUTED_VALUE"""),0.04804398148148148)</f>
        <v>0.04804398148</v>
      </c>
      <c r="H79" s="151"/>
      <c r="I79" s="140"/>
      <c r="J79" s="140"/>
      <c r="K79" s="140"/>
      <c r="L79" s="147">
        <f>IFERROR(__xludf.DUMMYFUNCTION("""COMPUTED_VALUE"""),667359.0)</f>
        <v>667359</v>
      </c>
      <c r="M79" s="148" t="str">
        <f>IFERROR(__xludf.DUMMYFUNCTION("""COMPUTED_VALUE"""),"Sales: Data-Driven Sales Management")</f>
        <v>Sales: Data-Driven Sales Management</v>
      </c>
      <c r="N79" s="147" t="str">
        <f>IFERROR(__xludf.DUMMYFUNCTION("""COMPUTED_VALUE"""),"General")</f>
        <v>General</v>
      </c>
      <c r="O79" s="141" t="str">
        <f>IFERROR(__xludf.DUMMYFUNCTION("""COMPUTED_VALUE"""),"Intermediate")</f>
        <v>Intermediate</v>
      </c>
      <c r="P79" s="143">
        <f>IFERROR(__xludf.DUMMYFUNCTION("""COMPUTED_VALUE"""),0.021493055555555557)</f>
        <v>0.02149305556</v>
      </c>
      <c r="Q79" s="151"/>
      <c r="R79" s="140"/>
      <c r="S79" s="140"/>
    </row>
    <row r="80" ht="33.75" customHeight="1">
      <c r="A80" s="140"/>
      <c r="B80" s="140"/>
      <c r="C80" s="147">
        <f>IFERROR(__xludf.DUMMYFUNCTION("""COMPUTED_VALUE"""),2823322.0)</f>
        <v>2823322</v>
      </c>
      <c r="D80" s="148" t="str">
        <f>IFERROR(__xludf.DUMMYFUNCTION("""COMPUTED_VALUE"""),"The Top PMO Challenges")</f>
        <v>The Top PMO Challenges</v>
      </c>
      <c r="E80" s="147" t="str">
        <f>IFERROR(__xludf.DUMMYFUNCTION("""COMPUTED_VALUE"""),"General")</f>
        <v>General</v>
      </c>
      <c r="F80" s="141" t="str">
        <f>IFERROR(__xludf.DUMMYFUNCTION("""COMPUTED_VALUE"""),"Intermediate")</f>
        <v>Intermediate</v>
      </c>
      <c r="G80" s="143">
        <f>IFERROR(__xludf.DUMMYFUNCTION("""COMPUTED_VALUE"""),0.03116898148148148)</f>
        <v>0.03116898148</v>
      </c>
      <c r="H80" s="151"/>
      <c r="I80" s="140"/>
      <c r="J80" s="140"/>
      <c r="K80" s="140"/>
      <c r="L80" s="147">
        <f>IFERROR(__xludf.DUMMYFUNCTION("""COMPUTED_VALUE"""),758619.0)</f>
        <v>758619</v>
      </c>
      <c r="M80" s="148" t="str">
        <f>IFERROR(__xludf.DUMMYFUNCTION("""COMPUTED_VALUE"""),"Social Selling Benchmarks and Scorecard")</f>
        <v>Social Selling Benchmarks and Scorecard</v>
      </c>
      <c r="N80" s="147" t="str">
        <f>IFERROR(__xludf.DUMMYFUNCTION("""COMPUTED_VALUE"""),"General")</f>
        <v>General</v>
      </c>
      <c r="O80" s="141" t="str">
        <f>IFERROR(__xludf.DUMMYFUNCTION("""COMPUTED_VALUE"""),"Intermediate")</f>
        <v>Intermediate</v>
      </c>
      <c r="P80" s="143">
        <f>IFERROR(__xludf.DUMMYFUNCTION("""COMPUTED_VALUE"""),0.030555555555555555)</f>
        <v>0.03055555556</v>
      </c>
      <c r="Q80" s="151"/>
      <c r="R80" s="140"/>
      <c r="S80" s="140"/>
    </row>
    <row r="81" ht="33.75" customHeight="1">
      <c r="A81" s="154"/>
      <c r="B81" s="154"/>
      <c r="C81" s="147">
        <f>IFERROR(__xludf.DUMMYFUNCTION("""COMPUTED_VALUE"""),2825693.0)</f>
        <v>2825693</v>
      </c>
      <c r="D81" s="148" t="str">
        <f>IFERROR(__xludf.DUMMYFUNCTION("""COMPUTED_VALUE"""),"Trello for Agile Teams")</f>
        <v>Trello for Agile Teams</v>
      </c>
      <c r="E81" s="147" t="str">
        <f>IFERROR(__xludf.DUMMYFUNCTION("""COMPUTED_VALUE"""),"General")</f>
        <v>General</v>
      </c>
      <c r="F81" s="141" t="str">
        <f>IFERROR(__xludf.DUMMYFUNCTION("""COMPUTED_VALUE"""),"Intermediate")</f>
        <v>Intermediate</v>
      </c>
      <c r="G81" s="143">
        <f>IFERROR(__xludf.DUMMYFUNCTION("""COMPUTED_VALUE"""),0.07464120370370371)</f>
        <v>0.0746412037</v>
      </c>
      <c r="H81" s="151"/>
      <c r="I81" s="154"/>
      <c r="J81" s="154"/>
      <c r="K81" s="154"/>
      <c r="L81" s="147">
        <f>IFERROR(__xludf.DUMMYFUNCTION("""COMPUTED_VALUE"""),769275.0)</f>
        <v>769275</v>
      </c>
      <c r="M81" s="148" t="str">
        <f>IFERROR(__xludf.DUMMYFUNCTION("""COMPUTED_VALUE"""),"Cross-Selling")</f>
        <v>Cross-Selling</v>
      </c>
      <c r="N81" s="147" t="str">
        <f>IFERROR(__xludf.DUMMYFUNCTION("""COMPUTED_VALUE"""),"General")</f>
        <v>General</v>
      </c>
      <c r="O81" s="141" t="str">
        <f>IFERROR(__xludf.DUMMYFUNCTION("""COMPUTED_VALUE"""),"Intermediate")</f>
        <v>Intermediate</v>
      </c>
      <c r="P81" s="143">
        <f>IFERROR(__xludf.DUMMYFUNCTION("""COMPUTED_VALUE"""),0.04230324074074074)</f>
        <v>0.04230324074</v>
      </c>
      <c r="Q81" s="151"/>
      <c r="R81" s="154"/>
      <c r="S81" s="154"/>
    </row>
    <row r="82" ht="33.75" customHeight="1">
      <c r="A82" s="154"/>
      <c r="B82" s="154"/>
      <c r="C82" s="147">
        <f>IFERROR(__xludf.DUMMYFUNCTION("""COMPUTED_VALUE"""),2822664.0)</f>
        <v>2822664</v>
      </c>
      <c r="D82" s="148" t="str">
        <f>IFERROR(__xludf.DUMMYFUNCTION("""COMPUTED_VALUE"""),"Jira: Basic Administration")</f>
        <v>Jira: Basic Administration</v>
      </c>
      <c r="E82" s="147" t="str">
        <f>IFERROR(__xludf.DUMMYFUNCTION("""COMPUTED_VALUE"""),"General")</f>
        <v>General</v>
      </c>
      <c r="F82" s="141" t="str">
        <f>IFERROR(__xludf.DUMMYFUNCTION("""COMPUTED_VALUE"""),"Intermediate")</f>
        <v>Intermediate</v>
      </c>
      <c r="G82" s="143">
        <f>IFERROR(__xludf.DUMMYFUNCTION("""COMPUTED_VALUE"""),0.04922453703703704)</f>
        <v>0.04922453704</v>
      </c>
      <c r="H82" s="151"/>
      <c r="I82" s="154"/>
      <c r="J82" s="154"/>
      <c r="K82" s="154"/>
      <c r="L82" s="147">
        <f>IFERROR(__xludf.DUMMYFUNCTION("""COMPUTED_VALUE"""),772320.0)</f>
        <v>772320</v>
      </c>
      <c r="M82" s="148" t="str">
        <f>IFERROR(__xludf.DUMMYFUNCTION("""COMPUTED_VALUE"""),"Sales: Handling Objections")</f>
        <v>Sales: Handling Objections</v>
      </c>
      <c r="N82" s="147" t="str">
        <f>IFERROR(__xludf.DUMMYFUNCTION("""COMPUTED_VALUE"""),"General")</f>
        <v>General</v>
      </c>
      <c r="O82" s="141" t="str">
        <f>IFERROR(__xludf.DUMMYFUNCTION("""COMPUTED_VALUE"""),"Intermediate")</f>
        <v>Intermediate</v>
      </c>
      <c r="P82" s="143">
        <f>IFERROR(__xludf.DUMMYFUNCTION("""COMPUTED_VALUE"""),0.027962962962962964)</f>
        <v>0.02796296296</v>
      </c>
      <c r="Q82" s="151"/>
      <c r="R82" s="154"/>
      <c r="S82" s="154"/>
    </row>
    <row r="83" ht="33.75" customHeight="1">
      <c r="A83" s="154"/>
      <c r="B83" s="154"/>
      <c r="C83" s="147">
        <f>IFERROR(__xludf.DUMMYFUNCTION("""COMPUTED_VALUE"""),2824427.0)</f>
        <v>2824427</v>
      </c>
      <c r="D83" s="148" t="str">
        <f>IFERROR(__xludf.DUMMYFUNCTION("""COMPUTED_VALUE"""),"Artificial Intelligence: How Project Managers Can Leverage AI")</f>
        <v>Artificial Intelligence: How Project Managers Can Leverage AI</v>
      </c>
      <c r="E83" s="147" t="str">
        <f>IFERROR(__xludf.DUMMYFUNCTION("""COMPUTED_VALUE"""),"General")</f>
        <v>General</v>
      </c>
      <c r="F83" s="141" t="str">
        <f>IFERROR(__xludf.DUMMYFUNCTION("""COMPUTED_VALUE"""),"Intermediate")</f>
        <v>Intermediate</v>
      </c>
      <c r="G83" s="143">
        <f>IFERROR(__xludf.DUMMYFUNCTION("""COMPUTED_VALUE"""),0.03350694444444444)</f>
        <v>0.03350694444</v>
      </c>
      <c r="H83" s="151"/>
      <c r="I83" s="154"/>
      <c r="J83" s="154"/>
      <c r="K83" s="154"/>
      <c r="L83" s="147">
        <f>IFERROR(__xludf.DUMMYFUNCTION("""COMPUTED_VALUE"""),2226728.0)</f>
        <v>2226728</v>
      </c>
      <c r="M83" s="148" t="str">
        <f>IFERROR(__xludf.DUMMYFUNCTION("""COMPUTED_VALUE"""),"Aligning Sales and Marketing")</f>
        <v>Aligning Sales and Marketing</v>
      </c>
      <c r="N83" s="147" t="str">
        <f>IFERROR(__xludf.DUMMYFUNCTION("""COMPUTED_VALUE"""),"General")</f>
        <v>General</v>
      </c>
      <c r="O83" s="141" t="str">
        <f>IFERROR(__xludf.DUMMYFUNCTION("""COMPUTED_VALUE"""),"Intermediate")</f>
        <v>Intermediate</v>
      </c>
      <c r="P83" s="143">
        <f>IFERROR(__xludf.DUMMYFUNCTION("""COMPUTED_VALUE"""),0.02494212962962963)</f>
        <v>0.02494212963</v>
      </c>
      <c r="Q83" s="151"/>
      <c r="R83" s="154"/>
      <c r="S83" s="154"/>
    </row>
    <row r="84" ht="33.75" customHeight="1">
      <c r="A84" s="154"/>
      <c r="B84" s="154"/>
      <c r="C84" s="147">
        <f>IFERROR(__xludf.DUMMYFUNCTION("""COMPUTED_VALUE"""),2876175.0)</f>
        <v>2876175</v>
      </c>
      <c r="D84" s="148" t="str">
        <f>IFERROR(__xludf.DUMMYFUNCTION("""COMPUTED_VALUE"""),"How to Fix Bad Agile")</f>
        <v>How to Fix Bad Agile</v>
      </c>
      <c r="E84" s="147" t="str">
        <f>IFERROR(__xludf.DUMMYFUNCTION("""COMPUTED_VALUE"""),"General")</f>
        <v>General</v>
      </c>
      <c r="F84" s="141" t="str">
        <f>IFERROR(__xludf.DUMMYFUNCTION("""COMPUTED_VALUE"""),"Intermediate")</f>
        <v>Intermediate</v>
      </c>
      <c r="G84" s="143">
        <f>IFERROR(__xludf.DUMMYFUNCTION("""COMPUTED_VALUE"""),0.04106481481481482)</f>
        <v>0.04106481481</v>
      </c>
      <c r="H84" s="151"/>
      <c r="I84" s="154"/>
      <c r="J84" s="154"/>
      <c r="K84" s="154"/>
      <c r="L84" s="147">
        <f>IFERROR(__xludf.DUMMYFUNCTION("""COMPUTED_VALUE"""),2814164.0)</f>
        <v>2814164</v>
      </c>
      <c r="M84" s="150" t="str">
        <f>IFERROR(__xludf.DUMMYFUNCTION("""COMPUTED_VALUE"""),"Sales Enablement")</f>
        <v>Sales Enablement</v>
      </c>
      <c r="N84" s="147" t="str">
        <f>IFERROR(__xludf.DUMMYFUNCTION("""COMPUTED_VALUE"""),"General")</f>
        <v>General</v>
      </c>
      <c r="O84" s="141" t="str">
        <f>IFERROR(__xludf.DUMMYFUNCTION("""COMPUTED_VALUE"""),"Intermediate")</f>
        <v>Intermediate</v>
      </c>
      <c r="P84" s="143">
        <f>IFERROR(__xludf.DUMMYFUNCTION("""COMPUTED_VALUE"""),0.018657407407407407)</f>
        <v>0.01865740741</v>
      </c>
      <c r="Q84" s="151"/>
      <c r="R84" s="154"/>
      <c r="S84" s="154"/>
    </row>
    <row r="85" ht="33.75" customHeight="1">
      <c r="A85" s="154"/>
      <c r="B85" s="154"/>
      <c r="C85" s="147">
        <f>IFERROR(__xludf.DUMMYFUNCTION("""COMPUTED_VALUE"""),2856038.0)</f>
        <v>2856038</v>
      </c>
      <c r="D85" s="148" t="str">
        <f>IFERROR(__xludf.DUMMYFUNCTION("""COMPUTED_VALUE"""),"Agile Rebranding")</f>
        <v>Agile Rebranding</v>
      </c>
      <c r="E85" s="147" t="str">
        <f>IFERROR(__xludf.DUMMYFUNCTION("""COMPUTED_VALUE"""),"General")</f>
        <v>General</v>
      </c>
      <c r="F85" s="141" t="str">
        <f>IFERROR(__xludf.DUMMYFUNCTION("""COMPUTED_VALUE"""),"Intermediate")</f>
        <v>Intermediate</v>
      </c>
      <c r="G85" s="143">
        <f>IFERROR(__xludf.DUMMYFUNCTION("""COMPUTED_VALUE"""),0.04946759259259259)</f>
        <v>0.04946759259</v>
      </c>
      <c r="H85" s="151"/>
      <c r="I85" s="154"/>
      <c r="J85" s="154"/>
      <c r="K85" s="154"/>
      <c r="L85" s="147">
        <f>IFERROR(__xludf.DUMMYFUNCTION("""COMPUTED_VALUE"""),2822055.0)</f>
        <v>2822055</v>
      </c>
      <c r="M85" s="150" t="str">
        <f>IFERROR(__xludf.DUMMYFUNCTION("""COMPUTED_VALUE"""),"Empathy for Sales Professionals")</f>
        <v>Empathy for Sales Professionals</v>
      </c>
      <c r="N85" s="147" t="str">
        <f>IFERROR(__xludf.DUMMYFUNCTION("""COMPUTED_VALUE"""),"General")</f>
        <v>General</v>
      </c>
      <c r="O85" s="141" t="str">
        <f>IFERROR(__xludf.DUMMYFUNCTION("""COMPUTED_VALUE"""),"Intermediate")</f>
        <v>Intermediate</v>
      </c>
      <c r="P85" s="143">
        <f>IFERROR(__xludf.DUMMYFUNCTION("""COMPUTED_VALUE"""),0.03333333333333333)</f>
        <v>0.03333333333</v>
      </c>
      <c r="Q85" s="151"/>
      <c r="R85" s="154"/>
      <c r="S85" s="154"/>
    </row>
    <row r="86" ht="33.75" customHeight="1">
      <c r="A86" s="154"/>
      <c r="B86" s="154"/>
      <c r="C86" s="147">
        <f>IFERROR(__xludf.DUMMYFUNCTION("""COMPUTED_VALUE"""),2396687.0)</f>
        <v>2396687</v>
      </c>
      <c r="D86" s="148" t="str">
        <f>IFERROR(__xludf.DUMMYFUNCTION("""COMPUTED_VALUE"""),"What Is Disciplined Agile?")</f>
        <v>What Is Disciplined Agile?</v>
      </c>
      <c r="E86" s="147" t="str">
        <f>IFERROR(__xludf.DUMMYFUNCTION("""COMPUTED_VALUE"""),"General")</f>
        <v>General</v>
      </c>
      <c r="F86" s="141" t="str">
        <f>IFERROR(__xludf.DUMMYFUNCTION("""COMPUTED_VALUE"""),"Intermediate")</f>
        <v>Intermediate</v>
      </c>
      <c r="G86" s="143">
        <f>IFERROR(__xludf.DUMMYFUNCTION("""COMPUTED_VALUE"""),0.018703703703703705)</f>
        <v>0.0187037037</v>
      </c>
      <c r="H86" s="151"/>
      <c r="I86" s="154"/>
      <c r="J86" s="154"/>
      <c r="K86" s="154"/>
      <c r="L86" s="147">
        <f>IFERROR(__xludf.DUMMYFUNCTION("""COMPUTED_VALUE"""),5035799.0)</f>
        <v>5035799</v>
      </c>
      <c r="M86" s="150" t="str">
        <f>IFERROR(__xludf.DUMMYFUNCTION("""COMPUTED_VALUE"""),"Asking Great Sales Questions")</f>
        <v>Asking Great Sales Questions</v>
      </c>
      <c r="N86" s="147" t="str">
        <f>IFERROR(__xludf.DUMMYFUNCTION("""COMPUTED_VALUE"""),"General")</f>
        <v>General</v>
      </c>
      <c r="O86" s="141" t="str">
        <f>IFERROR(__xludf.DUMMYFUNCTION("""COMPUTED_VALUE"""),"Intermediate")</f>
        <v>Intermediate</v>
      </c>
      <c r="P86" s="143">
        <f>IFERROR(__xludf.DUMMYFUNCTION("""COMPUTED_VALUE"""),0.03497685185185185)</f>
        <v>0.03497685185</v>
      </c>
      <c r="Q86" s="151"/>
      <c r="R86" s="154"/>
      <c r="S86" s="154"/>
    </row>
    <row r="87" ht="33.75" customHeight="1">
      <c r="A87" s="154"/>
      <c r="B87" s="154"/>
      <c r="C87" s="147">
        <f>IFERROR(__xludf.DUMMYFUNCTION("""COMPUTED_VALUE"""),2822590.0)</f>
        <v>2822590</v>
      </c>
      <c r="D87" s="148" t="str">
        <f>IFERROR(__xludf.DUMMYFUNCTION("""COMPUTED_VALUE"""),"Basecamp: Project Management Best Practices")</f>
        <v>Basecamp: Project Management Best Practices</v>
      </c>
      <c r="E87" s="147" t="str">
        <f>IFERROR(__xludf.DUMMYFUNCTION("""COMPUTED_VALUE"""),"General")</f>
        <v>General</v>
      </c>
      <c r="F87" s="141" t="str">
        <f>IFERROR(__xludf.DUMMYFUNCTION("""COMPUTED_VALUE"""),"Intermediate")</f>
        <v>Intermediate</v>
      </c>
      <c r="G87" s="143">
        <f>IFERROR(__xludf.DUMMYFUNCTION("""COMPUTED_VALUE"""),0.04019675925925926)</f>
        <v>0.04019675926</v>
      </c>
      <c r="H87" s="151"/>
      <c r="I87" s="154"/>
      <c r="J87" s="154"/>
      <c r="K87" s="154"/>
      <c r="L87" s="147">
        <f>IFERROR(__xludf.DUMMYFUNCTION("""COMPUTED_VALUE"""),2846052.0)</f>
        <v>2846052</v>
      </c>
      <c r="M87" s="150" t="str">
        <f>IFERROR(__xludf.DUMMYFUNCTION("""COMPUTED_VALUE"""),"Selling with Empathy during Uncertain Times")</f>
        <v>Selling with Empathy during Uncertain Times</v>
      </c>
      <c r="N87" s="147" t="str">
        <f>IFERROR(__xludf.DUMMYFUNCTION("""COMPUTED_VALUE"""),"General")</f>
        <v>General</v>
      </c>
      <c r="O87" s="141" t="str">
        <f>IFERROR(__xludf.DUMMYFUNCTION("""COMPUTED_VALUE"""),"Intermediate")</f>
        <v>Intermediate</v>
      </c>
      <c r="P87" s="143">
        <f>IFERROR(__xludf.DUMMYFUNCTION("""COMPUTED_VALUE"""),0.024918981481481483)</f>
        <v>0.02491898148</v>
      </c>
      <c r="Q87" s="151"/>
      <c r="R87" s="154"/>
      <c r="S87" s="154"/>
    </row>
    <row r="88" ht="33.75" customHeight="1">
      <c r="A88" s="154"/>
      <c r="B88" s="154"/>
      <c r="C88" s="147">
        <f>IFERROR(__xludf.DUMMYFUNCTION("""COMPUTED_VALUE"""),2893046.0)</f>
        <v>2893046</v>
      </c>
      <c r="D88" s="148" t="str">
        <f>IFERROR(__xludf.DUMMYFUNCTION("""COMPUTED_VALUE"""),"Tailoring Project Delivery")</f>
        <v>Tailoring Project Delivery</v>
      </c>
      <c r="E88" s="147" t="str">
        <f>IFERROR(__xludf.DUMMYFUNCTION("""COMPUTED_VALUE"""),"General")</f>
        <v>General</v>
      </c>
      <c r="F88" s="141" t="str">
        <f>IFERROR(__xludf.DUMMYFUNCTION("""COMPUTED_VALUE"""),"Intermediate")</f>
        <v>Intermediate</v>
      </c>
      <c r="G88" s="143">
        <f>IFERROR(__xludf.DUMMYFUNCTION("""COMPUTED_VALUE"""),0.032233796296296295)</f>
        <v>0.0322337963</v>
      </c>
      <c r="H88" s="151"/>
      <c r="I88" s="154"/>
      <c r="J88" s="154"/>
      <c r="K88" s="154"/>
      <c r="L88" s="147">
        <f>IFERROR(__xludf.DUMMYFUNCTION("""COMPUTED_VALUE"""),2834042.0)</f>
        <v>2834042</v>
      </c>
      <c r="M88" s="150" t="str">
        <f>IFERROR(__xludf.DUMMYFUNCTION("""COMPUTED_VALUE"""),"Social Selling: Reaching Prospects")</f>
        <v>Social Selling: Reaching Prospects</v>
      </c>
      <c r="N88" s="147" t="str">
        <f>IFERROR(__xludf.DUMMYFUNCTION("""COMPUTED_VALUE"""),"General")</f>
        <v>General</v>
      </c>
      <c r="O88" s="141" t="str">
        <f>IFERROR(__xludf.DUMMYFUNCTION("""COMPUTED_VALUE"""),"Intermediate")</f>
        <v>Intermediate</v>
      </c>
      <c r="P88" s="143">
        <f>IFERROR(__xludf.DUMMYFUNCTION("""COMPUTED_VALUE"""),0.03305555555555555)</f>
        <v>0.03305555556</v>
      </c>
      <c r="Q88" s="151"/>
      <c r="R88" s="154"/>
      <c r="S88" s="154"/>
    </row>
    <row r="89" ht="33.75" customHeight="1">
      <c r="A89" s="154"/>
      <c r="B89" s="154"/>
      <c r="C89" s="147">
        <f>IFERROR(__xludf.DUMMYFUNCTION("""COMPUTED_VALUE"""),2874109.0)</f>
        <v>2874109</v>
      </c>
      <c r="D89" s="148" t="str">
        <f>IFERROR(__xludf.DUMMYFUNCTION("""COMPUTED_VALUE"""),"Hybrid Project Management: Do What Works")</f>
        <v>Hybrid Project Management: Do What Works</v>
      </c>
      <c r="E89" s="147" t="str">
        <f>IFERROR(__xludf.DUMMYFUNCTION("""COMPUTED_VALUE"""),"General")</f>
        <v>General</v>
      </c>
      <c r="F89" s="141" t="str">
        <f>IFERROR(__xludf.DUMMYFUNCTION("""COMPUTED_VALUE"""),"Intermediate")</f>
        <v>Intermediate</v>
      </c>
      <c r="G89" s="143">
        <f>IFERROR(__xludf.DUMMYFUNCTION("""COMPUTED_VALUE"""),0.0499537037037037)</f>
        <v>0.0499537037</v>
      </c>
      <c r="H89" s="151"/>
      <c r="I89" s="154"/>
      <c r="J89" s="154"/>
      <c r="K89" s="154"/>
      <c r="L89" s="147">
        <f>IFERROR(__xludf.DUMMYFUNCTION("""COMPUTED_VALUE"""),2888117.0)</f>
        <v>2888117</v>
      </c>
      <c r="M89" s="150" t="str">
        <f>IFERROR(__xludf.DUMMYFUNCTION("""COMPUTED_VALUE"""),"Cold Email Prospecting")</f>
        <v>Cold Email Prospecting</v>
      </c>
      <c r="N89" s="147" t="str">
        <f>IFERROR(__xludf.DUMMYFUNCTION("""COMPUTED_VALUE"""),"General")</f>
        <v>General</v>
      </c>
      <c r="O89" s="141" t="str">
        <f>IFERROR(__xludf.DUMMYFUNCTION("""COMPUTED_VALUE"""),"Intermediate")</f>
        <v>Intermediate</v>
      </c>
      <c r="P89" s="143">
        <f>IFERROR(__xludf.DUMMYFUNCTION("""COMPUTED_VALUE"""),0.051145833333333335)</f>
        <v>0.05114583333</v>
      </c>
      <c r="Q89" s="151"/>
      <c r="R89" s="154"/>
      <c r="S89" s="154"/>
    </row>
    <row r="90" ht="33.75" customHeight="1">
      <c r="A90" s="154"/>
      <c r="B90" s="154"/>
      <c r="C90" s="147">
        <f>IFERROR(__xludf.DUMMYFUNCTION("""COMPUTED_VALUE"""),2426686.0)</f>
        <v>2426686</v>
      </c>
      <c r="D90" s="148" t="str">
        <f>IFERROR(__xludf.DUMMYFUNCTION("""COMPUTED_VALUE"""),"Agile Project Management with Microsoft Project")</f>
        <v>Agile Project Management with Microsoft Project</v>
      </c>
      <c r="E90" s="147" t="str">
        <f>IFERROR(__xludf.DUMMYFUNCTION("""COMPUTED_VALUE"""),"General")</f>
        <v>General</v>
      </c>
      <c r="F90" s="141" t="str">
        <f>IFERROR(__xludf.DUMMYFUNCTION("""COMPUTED_VALUE"""),"Intermediate")</f>
        <v>Intermediate</v>
      </c>
      <c r="G90" s="143">
        <f>IFERROR(__xludf.DUMMYFUNCTION("""COMPUTED_VALUE"""),0.07907407407407407)</f>
        <v>0.07907407407</v>
      </c>
      <c r="H90" s="151"/>
      <c r="I90" s="154"/>
      <c r="J90" s="154"/>
      <c r="K90" s="154"/>
      <c r="L90" s="147">
        <f>IFERROR(__xludf.DUMMYFUNCTION("""COMPUTED_VALUE"""),2282148.0)</f>
        <v>2282148</v>
      </c>
      <c r="M90" s="150" t="str">
        <f>IFERROR(__xludf.DUMMYFUNCTION("""COMPUTED_VALUE"""),"Managing Your Sales Process")</f>
        <v>Managing Your Sales Process</v>
      </c>
      <c r="N90" s="147" t="str">
        <f>IFERROR(__xludf.DUMMYFUNCTION("""COMPUTED_VALUE"""),"General")</f>
        <v>General</v>
      </c>
      <c r="O90" s="141" t="str">
        <f>IFERROR(__xludf.DUMMYFUNCTION("""COMPUTED_VALUE"""),"Intermediate")</f>
        <v>Intermediate</v>
      </c>
      <c r="P90" s="143">
        <f>IFERROR(__xludf.DUMMYFUNCTION("""COMPUTED_VALUE"""),0.025798611111111112)</f>
        <v>0.02579861111</v>
      </c>
      <c r="Q90" s="151"/>
      <c r="R90" s="154"/>
      <c r="S90" s="154"/>
    </row>
    <row r="91" ht="33.75" customHeight="1">
      <c r="A91" s="154"/>
      <c r="B91" s="154"/>
      <c r="C91" s="147">
        <f>IFERROR(__xludf.DUMMYFUNCTION("""COMPUTED_VALUE"""),2430044.0)</f>
        <v>2430044</v>
      </c>
      <c r="D91" s="148" t="str">
        <f>IFERROR(__xludf.DUMMYFUNCTION("""COMPUTED_VALUE"""),"Project Management: Technical Projects")</f>
        <v>Project Management: Technical Projects</v>
      </c>
      <c r="E91" s="147" t="str">
        <f>IFERROR(__xludf.DUMMYFUNCTION("""COMPUTED_VALUE"""),"General")</f>
        <v>General</v>
      </c>
      <c r="F91" s="141" t="str">
        <f>IFERROR(__xludf.DUMMYFUNCTION("""COMPUTED_VALUE"""),"Intermediate")</f>
        <v>Intermediate</v>
      </c>
      <c r="G91" s="143">
        <f>IFERROR(__xludf.DUMMYFUNCTION("""COMPUTED_VALUE"""),0.05170138888888889)</f>
        <v>0.05170138889</v>
      </c>
      <c r="H91" s="151"/>
      <c r="I91" s="154"/>
      <c r="J91" s="154"/>
      <c r="K91" s="154"/>
      <c r="L91" s="147">
        <f>IFERROR(__xludf.DUMMYFUNCTION("""COMPUTED_VALUE"""),2825697.0)</f>
        <v>2825697</v>
      </c>
      <c r="M91" s="150" t="str">
        <f>IFERROR(__xludf.DUMMYFUNCTION("""COMPUTED_VALUE"""),"Sales and the Science of Trust")</f>
        <v>Sales and the Science of Trust</v>
      </c>
      <c r="N91" s="147" t="str">
        <f>IFERROR(__xludf.DUMMYFUNCTION("""COMPUTED_VALUE"""),"General")</f>
        <v>General</v>
      </c>
      <c r="O91" s="141" t="str">
        <f>IFERROR(__xludf.DUMMYFUNCTION("""COMPUTED_VALUE"""),"Intermediate")</f>
        <v>Intermediate</v>
      </c>
      <c r="P91" s="143">
        <f>IFERROR(__xludf.DUMMYFUNCTION("""COMPUTED_VALUE"""),0.037488425925925925)</f>
        <v>0.03748842593</v>
      </c>
      <c r="Q91" s="151"/>
      <c r="R91" s="154"/>
      <c r="S91" s="154"/>
    </row>
    <row r="92" ht="33.75" customHeight="1">
      <c r="A92" s="154"/>
      <c r="B92" s="154"/>
      <c r="C92" s="147">
        <f>IFERROR(__xludf.DUMMYFUNCTION("""COMPUTED_VALUE"""),2888136.0)</f>
        <v>2888136</v>
      </c>
      <c r="D92" s="148" t="str">
        <f>IFERROR(__xludf.DUMMYFUNCTION("""COMPUTED_VALUE"""),"How to Manage Lean Six Sigma Projects: Part I")</f>
        <v>How to Manage Lean Six Sigma Projects: Part I</v>
      </c>
      <c r="E92" s="147" t="str">
        <f>IFERROR(__xludf.DUMMYFUNCTION("""COMPUTED_VALUE"""),"General")</f>
        <v>General</v>
      </c>
      <c r="F92" s="141" t="str">
        <f>IFERROR(__xludf.DUMMYFUNCTION("""COMPUTED_VALUE"""),"Intermediate")</f>
        <v>Intermediate</v>
      </c>
      <c r="G92" s="143">
        <f>IFERROR(__xludf.DUMMYFUNCTION("""COMPUTED_VALUE"""),0.05604166666666666)</f>
        <v>0.05604166667</v>
      </c>
      <c r="H92" s="151"/>
      <c r="I92" s="154"/>
      <c r="J92" s="154"/>
      <c r="K92" s="154"/>
      <c r="L92" s="147">
        <f>IFERROR(__xludf.DUMMYFUNCTION("""COMPUTED_VALUE"""),3007909.0)</f>
        <v>3007909</v>
      </c>
      <c r="M92" s="150" t="str">
        <f>IFERROR(__xludf.DUMMYFUNCTION("""COMPUTED_VALUE"""),"Controlling the Sale")</f>
        <v>Controlling the Sale</v>
      </c>
      <c r="N92" s="147" t="str">
        <f>IFERROR(__xludf.DUMMYFUNCTION("""COMPUTED_VALUE"""),"General")</f>
        <v>General</v>
      </c>
      <c r="O92" s="141" t="str">
        <f>IFERROR(__xludf.DUMMYFUNCTION("""COMPUTED_VALUE"""),"Intermediate")</f>
        <v>Intermediate</v>
      </c>
      <c r="P92" s="143">
        <f>IFERROR(__xludf.DUMMYFUNCTION("""COMPUTED_VALUE"""),0.027488425925925927)</f>
        <v>0.02748842593</v>
      </c>
      <c r="Q92" s="151"/>
      <c r="R92" s="154"/>
      <c r="S92" s="154"/>
    </row>
    <row r="93" ht="33.75" customHeight="1">
      <c r="A93" s="154"/>
      <c r="B93" s="154"/>
      <c r="C93" s="147">
        <f>IFERROR(__xludf.DUMMYFUNCTION("""COMPUTED_VALUE"""),2891047.0)</f>
        <v>2891047</v>
      </c>
      <c r="D93" s="148" t="str">
        <f>IFERROR(__xludf.DUMMYFUNCTION("""COMPUTED_VALUE"""),"Project Resource Management")</f>
        <v>Project Resource Management</v>
      </c>
      <c r="E93" s="147" t="str">
        <f>IFERROR(__xludf.DUMMYFUNCTION("""COMPUTED_VALUE"""),"General")</f>
        <v>General</v>
      </c>
      <c r="F93" s="141" t="str">
        <f>IFERROR(__xludf.DUMMYFUNCTION("""COMPUTED_VALUE"""),"Intermediate")</f>
        <v>Intermediate</v>
      </c>
      <c r="G93" s="143">
        <f>IFERROR(__xludf.DUMMYFUNCTION("""COMPUTED_VALUE"""),0.03476851851851852)</f>
        <v>0.03476851852</v>
      </c>
      <c r="H93" s="151"/>
      <c r="I93" s="154"/>
      <c r="J93" s="154"/>
      <c r="K93" s="154"/>
      <c r="L93" s="147">
        <f>IFERROR(__xludf.DUMMYFUNCTION("""COMPUTED_VALUE"""),3009887.0)</f>
        <v>3009887</v>
      </c>
      <c r="M93" s="150" t="str">
        <f>IFERROR(__xludf.DUMMYFUNCTION("""COMPUTED_VALUE"""),"Selling Using Champions")</f>
        <v>Selling Using Champions</v>
      </c>
      <c r="N93" s="147" t="str">
        <f>IFERROR(__xludf.DUMMYFUNCTION("""COMPUTED_VALUE"""),"General")</f>
        <v>General</v>
      </c>
      <c r="O93" s="141" t="str">
        <f>IFERROR(__xludf.DUMMYFUNCTION("""COMPUTED_VALUE"""),"Intermediate")</f>
        <v>Intermediate</v>
      </c>
      <c r="P93" s="143">
        <f>IFERROR(__xludf.DUMMYFUNCTION("""COMPUTED_VALUE"""),0.02693287037037037)</f>
        <v>0.02693287037</v>
      </c>
      <c r="Q93" s="151"/>
      <c r="R93" s="154"/>
      <c r="S93" s="154"/>
    </row>
    <row r="94" ht="33.75" customHeight="1">
      <c r="A94" s="154"/>
      <c r="B94" s="154"/>
      <c r="C94" s="147">
        <f>IFERROR(__xludf.DUMMYFUNCTION("""COMPUTED_VALUE"""),2893046.0)</f>
        <v>2893046</v>
      </c>
      <c r="D94" s="148" t="str">
        <f>IFERROR(__xludf.DUMMYFUNCTION("""COMPUTED_VALUE"""),"Tailoring Project Delivery")</f>
        <v>Tailoring Project Delivery</v>
      </c>
      <c r="E94" s="147" t="str">
        <f>IFERROR(__xludf.DUMMYFUNCTION("""COMPUTED_VALUE"""),"General")</f>
        <v>General</v>
      </c>
      <c r="F94" s="141" t="str">
        <f>IFERROR(__xludf.DUMMYFUNCTION("""COMPUTED_VALUE"""),"Intermediate")</f>
        <v>Intermediate</v>
      </c>
      <c r="G94" s="143">
        <f>IFERROR(__xludf.DUMMYFUNCTION("""COMPUTED_VALUE"""),0.032233796296296295)</f>
        <v>0.0322337963</v>
      </c>
      <c r="H94" s="151"/>
      <c r="I94" s="154"/>
      <c r="J94" s="154"/>
      <c r="K94" s="154"/>
      <c r="L94" s="147">
        <f>IFERROR(__xludf.DUMMYFUNCTION("""COMPUTED_VALUE"""),3014069.0)</f>
        <v>3014069</v>
      </c>
      <c r="M94" s="150" t="str">
        <f>IFERROR(__xludf.DUMMYFUNCTION("""COMPUTED_VALUE"""),"Cold Calling: The First Seven Seconds")</f>
        <v>Cold Calling: The First Seven Seconds</v>
      </c>
      <c r="N94" s="147" t="str">
        <f>IFERROR(__xludf.DUMMYFUNCTION("""COMPUTED_VALUE"""),"General")</f>
        <v>General</v>
      </c>
      <c r="O94" s="141" t="str">
        <f>IFERROR(__xludf.DUMMYFUNCTION("""COMPUTED_VALUE"""),"Intermediate")</f>
        <v>Intermediate</v>
      </c>
      <c r="P94" s="143">
        <f>IFERROR(__xludf.DUMMYFUNCTION("""COMPUTED_VALUE"""),0.023946759259259258)</f>
        <v>0.02394675926</v>
      </c>
      <c r="Q94" s="151"/>
      <c r="R94" s="154"/>
      <c r="S94" s="154"/>
    </row>
    <row r="95" ht="33.75" customHeight="1">
      <c r="A95" s="154"/>
      <c r="B95" s="154"/>
      <c r="C95" s="147">
        <f>IFERROR(__xludf.DUMMYFUNCTION("""COMPUTED_VALUE"""),3013249.0)</f>
        <v>3013249</v>
      </c>
      <c r="D95" s="148" t="str">
        <f>IFERROR(__xludf.DUMMYFUNCTION("""COMPUTED_VALUE"""),"Advanced Agile: The Team's Mindset")</f>
        <v>Advanced Agile: The Team's Mindset</v>
      </c>
      <c r="E95" s="147" t="str">
        <f>IFERROR(__xludf.DUMMYFUNCTION("""COMPUTED_VALUE"""),"General")</f>
        <v>General</v>
      </c>
      <c r="F95" s="141" t="str">
        <f>IFERROR(__xludf.DUMMYFUNCTION("""COMPUTED_VALUE"""),"Intermediate")</f>
        <v>Intermediate</v>
      </c>
      <c r="G95" s="143">
        <f>IFERROR(__xludf.DUMMYFUNCTION("""COMPUTED_VALUE"""),0.04539351851851852)</f>
        <v>0.04539351852</v>
      </c>
      <c r="H95" s="151"/>
      <c r="I95" s="154"/>
      <c r="J95" s="154"/>
      <c r="K95" s="154"/>
      <c r="L95" s="147">
        <f>IFERROR(__xludf.DUMMYFUNCTION("""COMPUTED_VALUE"""),777346.0)</f>
        <v>777346</v>
      </c>
      <c r="M95" s="150" t="str">
        <f>IFERROR(__xludf.DUMMYFUNCTION("""COMPUTED_VALUE"""),"The Persuasion Code: The Neuroscience of Sales")</f>
        <v>The Persuasion Code: The Neuroscience of Sales</v>
      </c>
      <c r="N95" s="147" t="str">
        <f>IFERROR(__xludf.DUMMYFUNCTION("""COMPUTED_VALUE"""),"General")</f>
        <v>General</v>
      </c>
      <c r="O95" s="141" t="str">
        <f>IFERROR(__xludf.DUMMYFUNCTION("""COMPUTED_VALUE"""),"Advanced")</f>
        <v>Advanced</v>
      </c>
      <c r="P95" s="143">
        <f>IFERROR(__xludf.DUMMYFUNCTION("""COMPUTED_VALUE"""),0.0340162037037037)</f>
        <v>0.0340162037</v>
      </c>
      <c r="Q95" s="151"/>
      <c r="R95" s="154"/>
      <c r="S95" s="154"/>
    </row>
    <row r="96" ht="33.75" customHeight="1">
      <c r="A96" s="154"/>
      <c r="B96" s="154"/>
      <c r="C96" s="147">
        <f>IFERROR(__xludf.DUMMYFUNCTION("""COMPUTED_VALUE"""),3158742.0)</f>
        <v>3158742</v>
      </c>
      <c r="D96" s="148" t="str">
        <f>IFERROR(__xludf.DUMMYFUNCTION("""COMPUTED_VALUE"""),"How to Manage Lean Six Sigma Projects: Part II")</f>
        <v>How to Manage Lean Six Sigma Projects: Part II</v>
      </c>
      <c r="E96" s="147" t="str">
        <f>IFERROR(__xludf.DUMMYFUNCTION("""COMPUTED_VALUE"""),"General")</f>
        <v>General</v>
      </c>
      <c r="F96" s="141" t="str">
        <f>IFERROR(__xludf.DUMMYFUNCTION("""COMPUTED_VALUE"""),"Intermediate")</f>
        <v>Intermediate</v>
      </c>
      <c r="G96" s="143">
        <f>IFERROR(__xludf.DUMMYFUNCTION("""COMPUTED_VALUE"""),0.04583333333333333)</f>
        <v>0.04583333333</v>
      </c>
      <c r="H96" s="151"/>
      <c r="I96" s="154"/>
      <c r="J96" s="154"/>
      <c r="K96" s="154"/>
      <c r="L96" s="147">
        <f>IFERROR(__xludf.DUMMYFUNCTION("""COMPUTED_VALUE"""),797727.0)</f>
        <v>797727</v>
      </c>
      <c r="M96" s="150" t="str">
        <f>IFERROR(__xludf.DUMMYFUNCTION("""COMPUTED_VALUE"""),"Sales: Closing Strategies")</f>
        <v>Sales: Closing Strategies</v>
      </c>
      <c r="N96" s="147" t="str">
        <f>IFERROR(__xludf.DUMMYFUNCTION("""COMPUTED_VALUE"""),"General")</f>
        <v>General</v>
      </c>
      <c r="O96" s="141" t="str">
        <f>IFERROR(__xludf.DUMMYFUNCTION("""COMPUTED_VALUE"""),"Advanced")</f>
        <v>Advanced</v>
      </c>
      <c r="P96" s="143">
        <f>IFERROR(__xludf.DUMMYFUNCTION("""COMPUTED_VALUE"""),0.02679398148148148)</f>
        <v>0.02679398148</v>
      </c>
      <c r="Q96" s="151"/>
      <c r="R96" s="154"/>
      <c r="S96" s="154"/>
    </row>
    <row r="97" ht="33.75" customHeight="1">
      <c r="A97" s="154"/>
      <c r="B97" s="154"/>
      <c r="C97" s="147"/>
      <c r="D97" s="153"/>
      <c r="E97" s="147"/>
      <c r="F97" s="141"/>
      <c r="G97" s="141"/>
      <c r="H97" s="151"/>
      <c r="I97" s="154"/>
      <c r="J97" s="154"/>
      <c r="K97" s="154"/>
      <c r="L97" s="147">
        <f>IFERROR(__xludf.DUMMYFUNCTION("""COMPUTED_VALUE"""),2811346.0)</f>
        <v>2811346</v>
      </c>
      <c r="M97" s="150" t="str">
        <f>IFERROR(__xludf.DUMMYFUNCTION("""COMPUTED_VALUE"""),"Advanced Persuasive Selling: Persuading Different Personality Types")</f>
        <v>Advanced Persuasive Selling: Persuading Different Personality Types</v>
      </c>
      <c r="N97" s="147" t="str">
        <f>IFERROR(__xludf.DUMMYFUNCTION("""COMPUTED_VALUE"""),"General")</f>
        <v>General</v>
      </c>
      <c r="O97" s="141" t="str">
        <f>IFERROR(__xludf.DUMMYFUNCTION("""COMPUTED_VALUE"""),"Advanced")</f>
        <v>Advanced</v>
      </c>
      <c r="P97" s="143">
        <f>IFERROR(__xludf.DUMMYFUNCTION("""COMPUTED_VALUE"""),0.03037037037037037)</f>
        <v>0.03037037037</v>
      </c>
      <c r="Q97" s="151"/>
      <c r="R97" s="154"/>
      <c r="S97" s="154"/>
    </row>
    <row r="98" ht="33.75" customHeight="1">
      <c r="A98" s="154"/>
      <c r="B98" s="154"/>
      <c r="C98" s="147"/>
      <c r="D98" s="153"/>
      <c r="E98" s="147"/>
      <c r="F98" s="141"/>
      <c r="G98" s="141"/>
      <c r="H98" s="151"/>
      <c r="I98" s="154"/>
      <c r="J98" s="154"/>
      <c r="K98" s="154"/>
      <c r="L98" s="147">
        <f>IFERROR(__xludf.DUMMYFUNCTION("""COMPUTED_VALUE"""),5016699.0)</f>
        <v>5016699</v>
      </c>
      <c r="M98" s="150" t="str">
        <f>IFERROR(__xludf.DUMMYFUNCTION("""COMPUTED_VALUE"""),"Selling to the C-Suite")</f>
        <v>Selling to the C-Suite</v>
      </c>
      <c r="N98" s="147" t="str">
        <f>IFERROR(__xludf.DUMMYFUNCTION("""COMPUTED_VALUE"""),"General")</f>
        <v>General</v>
      </c>
      <c r="O98" s="141" t="str">
        <f>IFERROR(__xludf.DUMMYFUNCTION("""COMPUTED_VALUE"""),"Advanced")</f>
        <v>Advanced</v>
      </c>
      <c r="P98" s="143">
        <f>IFERROR(__xludf.DUMMYFUNCTION("""COMPUTED_VALUE"""),0.0444212962962963)</f>
        <v>0.0444212963</v>
      </c>
      <c r="Q98" s="151"/>
      <c r="R98" s="154"/>
      <c r="S98" s="154"/>
    </row>
    <row r="99" ht="33.75" customHeight="1">
      <c r="A99" s="154"/>
      <c r="B99" s="154"/>
      <c r="C99" s="147"/>
      <c r="D99" s="153"/>
      <c r="E99" s="147"/>
      <c r="F99" s="141"/>
      <c r="G99" s="141"/>
      <c r="H99" s="151"/>
      <c r="I99" s="154"/>
      <c r="J99" s="154"/>
      <c r="K99" s="154"/>
      <c r="L99" s="147">
        <f>IFERROR(__xludf.DUMMYFUNCTION("""COMPUTED_VALUE"""),2854002.0)</f>
        <v>2854002</v>
      </c>
      <c r="M99" s="150" t="str">
        <f>IFERROR(__xludf.DUMMYFUNCTION("""COMPUTED_VALUE"""),"Advanced Lead Generation")</f>
        <v>Advanced Lead Generation</v>
      </c>
      <c r="N99" s="147" t="str">
        <f>IFERROR(__xludf.DUMMYFUNCTION("""COMPUTED_VALUE"""),"General")</f>
        <v>General</v>
      </c>
      <c r="O99" s="141" t="str">
        <f>IFERROR(__xludf.DUMMYFUNCTION("""COMPUTED_VALUE"""),"Advanced")</f>
        <v>Advanced</v>
      </c>
      <c r="P99" s="143">
        <f>IFERROR(__xludf.DUMMYFUNCTION("""COMPUTED_VALUE"""),0.02724537037037037)</f>
        <v>0.02724537037</v>
      </c>
      <c r="Q99" s="151"/>
      <c r="R99" s="154"/>
      <c r="S99" s="154"/>
    </row>
    <row r="100" ht="33.75" customHeight="1">
      <c r="A100" s="154"/>
      <c r="B100" s="154"/>
      <c r="C100" s="147"/>
      <c r="D100" s="153"/>
      <c r="E100" s="147"/>
      <c r="F100" s="141"/>
      <c r="G100" s="141"/>
      <c r="H100" s="151"/>
      <c r="I100" s="154"/>
      <c r="J100" s="154"/>
      <c r="K100" s="154"/>
      <c r="L100" s="147">
        <f>IFERROR(__xludf.DUMMYFUNCTION("""COMPUTED_VALUE"""),148625.0)</f>
        <v>148625</v>
      </c>
      <c r="M100" s="150" t="str">
        <f>IFERROR(__xludf.DUMMYFUNCTION("""COMPUTED_VALUE"""),"Influencing Others")</f>
        <v>Influencing Others</v>
      </c>
      <c r="N100" s="147" t="str">
        <f>IFERROR(__xludf.DUMMYFUNCTION("""COMPUTED_VALUE"""),"General")</f>
        <v>General</v>
      </c>
      <c r="O100" s="141" t="str">
        <f>IFERROR(__xludf.DUMMYFUNCTION("""COMPUTED_VALUE"""),"General")</f>
        <v>General</v>
      </c>
      <c r="P100" s="143">
        <f>IFERROR(__xludf.DUMMYFUNCTION("""COMPUTED_VALUE"""),0.02903935185185185)</f>
        <v>0.02903935185</v>
      </c>
      <c r="Q100" s="151"/>
      <c r="R100" s="154"/>
      <c r="S100" s="154"/>
    </row>
    <row r="101" ht="33.75" customHeight="1">
      <c r="A101" s="154"/>
      <c r="B101" s="154"/>
      <c r="C101" s="147"/>
      <c r="D101" s="153"/>
      <c r="E101" s="147"/>
      <c r="F101" s="141"/>
      <c r="G101" s="141"/>
      <c r="H101" s="151"/>
      <c r="I101" s="154"/>
      <c r="J101" s="154"/>
      <c r="K101" s="154"/>
      <c r="L101" s="147">
        <f>IFERROR(__xludf.DUMMYFUNCTION("""COMPUTED_VALUE"""),2800332.0)</f>
        <v>2800332</v>
      </c>
      <c r="M101" s="150" t="str">
        <f>IFERROR(__xludf.DUMMYFUNCTION("""COMPUTED_VALUE"""),"Running a Design Business: Writing and Pricing Winning Proposals")</f>
        <v>Running a Design Business: Writing and Pricing Winning Proposals</v>
      </c>
      <c r="N101" s="147" t="str">
        <f>IFERROR(__xludf.DUMMYFUNCTION("""COMPUTED_VALUE"""),"General")</f>
        <v>General</v>
      </c>
      <c r="O101" s="141" t="str">
        <f>IFERROR(__xludf.DUMMYFUNCTION("""COMPUTED_VALUE"""),"General")</f>
        <v>General</v>
      </c>
      <c r="P101" s="143">
        <f>IFERROR(__xludf.DUMMYFUNCTION("""COMPUTED_VALUE"""),0.03540509259259259)</f>
        <v>0.03540509259</v>
      </c>
      <c r="Q101" s="151"/>
      <c r="R101" s="154"/>
      <c r="S101" s="154"/>
    </row>
    <row r="102" ht="33.75" customHeight="1">
      <c r="A102" s="154"/>
      <c r="B102" s="154"/>
      <c r="C102" s="147"/>
      <c r="D102" s="153"/>
      <c r="E102" s="147"/>
      <c r="F102" s="141"/>
      <c r="G102" s="141"/>
      <c r="H102" s="151"/>
      <c r="I102" s="154"/>
      <c r="J102" s="154"/>
      <c r="K102" s="154"/>
      <c r="L102" s="147">
        <f>IFERROR(__xludf.DUMMYFUNCTION("""COMPUTED_VALUE"""),2822652.0)</f>
        <v>2822652</v>
      </c>
      <c r="M102" s="150" t="str">
        <f>IFERROR(__xludf.DUMMYFUNCTION("""COMPUTED_VALUE"""),"Just Ask: Dean Karrel on Sales")</f>
        <v>Just Ask: Dean Karrel on Sales</v>
      </c>
      <c r="N102" s="147" t="str">
        <f>IFERROR(__xludf.DUMMYFUNCTION("""COMPUTED_VALUE"""),"General")</f>
        <v>General</v>
      </c>
      <c r="O102" s="141" t="str">
        <f>IFERROR(__xludf.DUMMYFUNCTION("""COMPUTED_VALUE"""),"General")</f>
        <v>General</v>
      </c>
      <c r="P102" s="143">
        <f>IFERROR(__xludf.DUMMYFUNCTION("""COMPUTED_VALUE"""),0.028148148148148148)</f>
        <v>0.02814814815</v>
      </c>
      <c r="Q102" s="151"/>
      <c r="R102" s="154"/>
      <c r="S102" s="154"/>
    </row>
    <row r="103" ht="33.75" customHeight="1">
      <c r="A103" s="154"/>
      <c r="B103" s="154"/>
      <c r="C103" s="147"/>
      <c r="D103" s="153"/>
      <c r="E103" s="147"/>
      <c r="F103" s="141"/>
      <c r="G103" s="141"/>
      <c r="H103" s="151"/>
      <c r="I103" s="154"/>
      <c r="J103" s="154"/>
      <c r="K103" s="154"/>
      <c r="L103" s="147">
        <f>IFERROR(__xludf.DUMMYFUNCTION("""COMPUTED_VALUE"""),2837265.0)</f>
        <v>2837265</v>
      </c>
      <c r="M103" s="150" t="str">
        <f>IFERROR(__xludf.DUMMYFUNCTION("""COMPUTED_VALUE"""),"Sales Management. Simplified. (Blinkist Summary)")</f>
        <v>Sales Management. Simplified. (Blinkist Summary)</v>
      </c>
      <c r="N103" s="147" t="str">
        <f>IFERROR(__xludf.DUMMYFUNCTION("""COMPUTED_VALUE"""),"General")</f>
        <v>General</v>
      </c>
      <c r="O103" s="141" t="str">
        <f>IFERROR(__xludf.DUMMYFUNCTION("""COMPUTED_VALUE"""),"General")</f>
        <v>General</v>
      </c>
      <c r="P103" s="143">
        <f>IFERROR(__xludf.DUMMYFUNCTION("""COMPUTED_VALUE"""),0.013321759259259259)</f>
        <v>0.01332175926</v>
      </c>
      <c r="Q103" s="151"/>
      <c r="R103" s="154"/>
      <c r="S103" s="154"/>
    </row>
    <row r="104" ht="33.75" customHeight="1">
      <c r="A104" s="154"/>
      <c r="B104" s="154"/>
      <c r="C104" s="147"/>
      <c r="D104" s="153"/>
      <c r="E104" s="147"/>
      <c r="F104" s="141"/>
      <c r="G104" s="141"/>
      <c r="H104" s="151"/>
      <c r="I104" s="154"/>
      <c r="J104" s="154"/>
      <c r="K104" s="154"/>
      <c r="L104" s="147">
        <f>IFERROR(__xludf.DUMMYFUNCTION("""COMPUTED_VALUE"""),2839081.0)</f>
        <v>2839081</v>
      </c>
      <c r="M104" s="150" t="str">
        <f>IFERROR(__xludf.DUMMYFUNCTION("""COMPUTED_VALUE"""),"Flip the Script: A Toolkit for Sellers and Negotiators (Blinkist Summary)")</f>
        <v>Flip the Script: A Toolkit for Sellers and Negotiators (Blinkist Summary)</v>
      </c>
      <c r="N104" s="147" t="str">
        <f>IFERROR(__xludf.DUMMYFUNCTION("""COMPUTED_VALUE"""),"General")</f>
        <v>General</v>
      </c>
      <c r="O104" s="141" t="str">
        <f>IFERROR(__xludf.DUMMYFUNCTION("""COMPUTED_VALUE"""),"General")</f>
        <v>General</v>
      </c>
      <c r="P104" s="143">
        <f>IFERROR(__xludf.DUMMYFUNCTION("""COMPUTED_VALUE"""),0.013078703703703703)</f>
        <v>0.0130787037</v>
      </c>
      <c r="Q104" s="151"/>
      <c r="R104" s="154"/>
      <c r="S104" s="154"/>
    </row>
    <row r="105">
      <c r="A105" s="154"/>
      <c r="B105" s="154"/>
      <c r="C105" s="147"/>
      <c r="D105" s="153"/>
      <c r="E105" s="147"/>
      <c r="F105" s="141"/>
      <c r="G105" s="141"/>
      <c r="H105" s="151"/>
      <c r="I105" s="154"/>
      <c r="J105" s="154"/>
      <c r="K105" s="154"/>
      <c r="L105" s="147">
        <f>IFERROR(__xludf.DUMMYFUNCTION("""COMPUTED_VALUE"""),3114007.0)</f>
        <v>3114007</v>
      </c>
      <c r="M105" s="150" t="str">
        <f>IFERROR(__xludf.DUMMYFUNCTION("""COMPUTED_VALUE"""),"How to Create a Life of Meaning and Purpose")</f>
        <v>How to Create a Life of Meaning and Purpose</v>
      </c>
      <c r="N105" s="147" t="str">
        <f>IFERROR(__xludf.DUMMYFUNCTION("""COMPUTED_VALUE"""),"General")</f>
        <v>General</v>
      </c>
      <c r="O105" s="141" t="str">
        <f>IFERROR(__xludf.DUMMYFUNCTION("""COMPUTED_VALUE"""),"General")</f>
        <v>General</v>
      </c>
      <c r="P105" s="143">
        <f>IFERROR(__xludf.DUMMYFUNCTION("""COMPUTED_VALUE"""),0.028703703703703703)</f>
        <v>0.0287037037</v>
      </c>
      <c r="Q105" s="151"/>
      <c r="R105" s="154"/>
      <c r="S105" s="154"/>
    </row>
    <row r="106">
      <c r="A106" s="154"/>
      <c r="B106" s="154"/>
      <c r="C106" s="147"/>
      <c r="D106" s="153"/>
      <c r="E106" s="147"/>
      <c r="F106" s="141"/>
      <c r="G106" s="141"/>
      <c r="H106" s="151"/>
      <c r="I106" s="154"/>
      <c r="J106" s="154"/>
      <c r="K106" s="154"/>
      <c r="L106" s="147"/>
      <c r="M106" s="159"/>
      <c r="N106" s="147"/>
      <c r="O106" s="141"/>
      <c r="P106" s="143"/>
      <c r="Q106" s="151"/>
      <c r="R106" s="154"/>
      <c r="S106" s="154"/>
    </row>
    <row r="107">
      <c r="A107" s="154"/>
      <c r="B107" s="154"/>
      <c r="C107" s="147"/>
      <c r="D107" s="153"/>
      <c r="E107" s="147"/>
      <c r="F107" s="141"/>
      <c r="G107" s="141"/>
      <c r="H107" s="151"/>
      <c r="I107" s="154"/>
      <c r="J107" s="154"/>
      <c r="K107" s="154"/>
      <c r="L107" s="147"/>
      <c r="M107" s="159"/>
      <c r="N107" s="147"/>
      <c r="O107" s="141"/>
      <c r="P107" s="143"/>
      <c r="Q107" s="151"/>
      <c r="R107" s="154"/>
      <c r="S107" s="154"/>
    </row>
    <row r="108">
      <c r="A108" s="154"/>
      <c r="B108" s="154"/>
      <c r="C108" s="147"/>
      <c r="D108" s="153"/>
      <c r="E108" s="147"/>
      <c r="F108" s="141"/>
      <c r="G108" s="141"/>
      <c r="H108" s="151"/>
      <c r="I108" s="154"/>
      <c r="J108" s="154"/>
      <c r="K108" s="154"/>
      <c r="L108" s="147"/>
      <c r="M108" s="159"/>
      <c r="N108" s="147"/>
      <c r="O108" s="141"/>
      <c r="P108" s="143"/>
      <c r="Q108" s="151"/>
      <c r="R108" s="154"/>
      <c r="S108" s="154"/>
    </row>
    <row r="109">
      <c r="A109" s="154"/>
      <c r="B109" s="154"/>
      <c r="C109" s="147"/>
      <c r="D109" s="153"/>
      <c r="E109" s="147"/>
      <c r="F109" s="141"/>
      <c r="G109" s="141"/>
      <c r="H109" s="151"/>
      <c r="I109" s="154"/>
      <c r="J109" s="154"/>
      <c r="K109" s="154"/>
      <c r="L109" s="147"/>
      <c r="M109" s="159"/>
      <c r="N109" s="147"/>
      <c r="O109" s="141"/>
      <c r="P109" s="143"/>
      <c r="Q109" s="151"/>
      <c r="R109" s="154"/>
      <c r="S109" s="154"/>
    </row>
    <row r="110">
      <c r="A110" s="154"/>
      <c r="B110" s="154"/>
      <c r="C110" s="147"/>
      <c r="D110" s="153"/>
      <c r="E110" s="147"/>
      <c r="F110" s="141"/>
      <c r="G110" s="141"/>
      <c r="H110" s="151"/>
      <c r="I110" s="154"/>
      <c r="J110" s="154"/>
      <c r="K110" s="154"/>
      <c r="L110" s="147"/>
      <c r="M110" s="159"/>
      <c r="N110" s="147"/>
      <c r="O110" s="141"/>
      <c r="P110" s="143"/>
      <c r="Q110" s="151"/>
      <c r="R110" s="154"/>
      <c r="S110" s="154"/>
    </row>
    <row r="111">
      <c r="A111" s="154"/>
      <c r="B111" s="154"/>
      <c r="C111" s="147"/>
      <c r="D111" s="153"/>
      <c r="E111" s="147"/>
      <c r="F111" s="141"/>
      <c r="G111" s="141"/>
      <c r="H111" s="151"/>
      <c r="I111" s="154"/>
      <c r="J111" s="154"/>
      <c r="K111" s="154"/>
      <c r="L111" s="147"/>
      <c r="M111" s="159"/>
      <c r="N111" s="147"/>
      <c r="O111" s="141"/>
      <c r="P111" s="143"/>
      <c r="Q111" s="151"/>
      <c r="R111" s="154"/>
      <c r="S111" s="154"/>
    </row>
    <row r="112">
      <c r="A112" s="154"/>
      <c r="B112" s="154"/>
      <c r="C112" s="147"/>
      <c r="D112" s="153"/>
      <c r="E112" s="147"/>
      <c r="F112" s="141"/>
      <c r="G112" s="141"/>
      <c r="H112" s="151"/>
      <c r="I112" s="154"/>
      <c r="J112" s="154"/>
      <c r="K112" s="154"/>
      <c r="L112" s="147"/>
      <c r="M112" s="159"/>
      <c r="N112" s="147"/>
      <c r="O112" s="141"/>
      <c r="P112" s="143"/>
      <c r="Q112" s="151"/>
      <c r="R112" s="154"/>
      <c r="S112" s="154"/>
    </row>
    <row r="113">
      <c r="A113" s="154"/>
      <c r="B113" s="154"/>
      <c r="C113" s="147"/>
      <c r="D113" s="153"/>
      <c r="E113" s="147"/>
      <c r="F113" s="141"/>
      <c r="G113" s="141"/>
      <c r="H113" s="151"/>
      <c r="I113" s="154"/>
      <c r="J113" s="154"/>
      <c r="K113" s="154"/>
      <c r="L113" s="147"/>
      <c r="M113" s="159"/>
      <c r="N113" s="147"/>
      <c r="O113" s="141"/>
      <c r="P113" s="143"/>
      <c r="Q113" s="151"/>
      <c r="R113" s="154"/>
      <c r="S113" s="154"/>
    </row>
    <row r="114">
      <c r="A114" s="154"/>
      <c r="B114" s="154"/>
      <c r="C114" s="147"/>
      <c r="D114" s="153"/>
      <c r="E114" s="147"/>
      <c r="F114" s="141"/>
      <c r="G114" s="141"/>
      <c r="H114" s="151"/>
      <c r="I114" s="154"/>
      <c r="J114" s="154"/>
      <c r="K114" s="154"/>
      <c r="L114" s="147"/>
      <c r="M114" s="159"/>
      <c r="N114" s="147"/>
      <c r="O114" s="141"/>
      <c r="P114" s="143"/>
      <c r="Q114" s="151"/>
      <c r="R114" s="154"/>
      <c r="S114" s="154"/>
    </row>
    <row r="115">
      <c r="A115" s="154"/>
      <c r="B115" s="154"/>
      <c r="C115" s="147"/>
      <c r="D115" s="153"/>
      <c r="E115" s="147"/>
      <c r="F115" s="141"/>
      <c r="G115" s="141"/>
      <c r="H115" s="151"/>
      <c r="I115" s="154"/>
      <c r="J115" s="154"/>
      <c r="K115" s="154"/>
      <c r="L115" s="147"/>
      <c r="M115" s="159"/>
      <c r="N115" s="147"/>
      <c r="O115" s="141"/>
      <c r="P115" s="143"/>
      <c r="Q115" s="151"/>
      <c r="R115" s="154"/>
      <c r="S115" s="154"/>
    </row>
    <row r="116">
      <c r="A116" s="154"/>
      <c r="B116" s="154"/>
      <c r="C116" s="147"/>
      <c r="D116" s="153"/>
      <c r="E116" s="147"/>
      <c r="F116" s="141"/>
      <c r="G116" s="141"/>
      <c r="H116" s="151"/>
      <c r="I116" s="154"/>
      <c r="J116" s="154"/>
      <c r="K116" s="154"/>
      <c r="L116" s="147"/>
      <c r="M116" s="159"/>
      <c r="N116" s="147"/>
      <c r="O116" s="141"/>
      <c r="P116" s="143"/>
      <c r="Q116" s="151"/>
      <c r="R116" s="154"/>
      <c r="S116" s="154"/>
    </row>
    <row r="117">
      <c r="A117" s="154"/>
      <c r="B117" s="154"/>
      <c r="C117" s="147"/>
      <c r="D117" s="153"/>
      <c r="E117" s="147"/>
      <c r="F117" s="141"/>
      <c r="G117" s="141"/>
      <c r="H117" s="151"/>
      <c r="I117" s="154"/>
      <c r="J117" s="154"/>
      <c r="K117" s="154"/>
      <c r="L117" s="147"/>
      <c r="M117" s="159"/>
      <c r="N117" s="147"/>
      <c r="O117" s="141"/>
      <c r="P117" s="143"/>
      <c r="Q117" s="151"/>
      <c r="R117" s="154"/>
      <c r="S117" s="154"/>
    </row>
    <row r="118">
      <c r="A118" s="154"/>
      <c r="B118" s="154"/>
      <c r="C118" s="147"/>
      <c r="D118" s="153"/>
      <c r="E118" s="147"/>
      <c r="F118" s="141"/>
      <c r="G118" s="141"/>
      <c r="H118" s="151"/>
      <c r="I118" s="154"/>
      <c r="J118" s="154"/>
      <c r="K118" s="154"/>
      <c r="L118" s="147"/>
      <c r="M118" s="159"/>
      <c r="N118" s="147"/>
      <c r="O118" s="141"/>
      <c r="P118" s="143"/>
      <c r="Q118" s="151"/>
      <c r="R118" s="154"/>
      <c r="S118" s="154"/>
    </row>
    <row r="119">
      <c r="A119" s="154"/>
      <c r="B119" s="154"/>
      <c r="C119" s="147"/>
      <c r="D119" s="153"/>
      <c r="E119" s="147"/>
      <c r="F119" s="141"/>
      <c r="G119" s="141"/>
      <c r="H119" s="151"/>
      <c r="I119" s="154"/>
      <c r="J119" s="154"/>
      <c r="K119" s="154"/>
      <c r="L119" s="147"/>
      <c r="M119" s="159"/>
      <c r="N119" s="147"/>
      <c r="O119" s="141"/>
      <c r="P119" s="143"/>
      <c r="Q119" s="151"/>
      <c r="R119" s="154"/>
      <c r="S119" s="154"/>
    </row>
    <row r="120">
      <c r="A120" s="154"/>
      <c r="B120" s="154"/>
      <c r="C120" s="147"/>
      <c r="D120" s="153"/>
      <c r="E120" s="147"/>
      <c r="F120" s="141"/>
      <c r="G120" s="141"/>
      <c r="H120" s="151"/>
      <c r="I120" s="154"/>
      <c r="J120" s="154"/>
      <c r="K120" s="154"/>
      <c r="L120" s="147"/>
      <c r="M120" s="159"/>
      <c r="N120" s="147"/>
      <c r="O120" s="141"/>
      <c r="P120" s="143"/>
      <c r="Q120" s="151"/>
      <c r="R120" s="154"/>
      <c r="S120" s="154"/>
    </row>
    <row r="121">
      <c r="A121" s="154"/>
      <c r="B121" s="154"/>
      <c r="C121" s="147"/>
      <c r="D121" s="153"/>
      <c r="E121" s="147"/>
      <c r="F121" s="141"/>
      <c r="G121" s="141"/>
      <c r="H121" s="151"/>
      <c r="I121" s="154"/>
      <c r="J121" s="154"/>
      <c r="K121" s="154"/>
      <c r="L121" s="147"/>
      <c r="M121" s="159"/>
      <c r="N121" s="147"/>
      <c r="O121" s="141"/>
      <c r="P121" s="143"/>
      <c r="Q121" s="151"/>
      <c r="R121" s="154"/>
      <c r="S121" s="154"/>
    </row>
    <row r="122">
      <c r="A122" s="154"/>
      <c r="B122" s="154"/>
      <c r="C122" s="147"/>
      <c r="D122" s="153"/>
      <c r="E122" s="147"/>
      <c r="F122" s="141"/>
      <c r="G122" s="141"/>
      <c r="H122" s="151"/>
      <c r="I122" s="154"/>
      <c r="J122" s="154"/>
      <c r="K122" s="154"/>
      <c r="L122" s="147"/>
      <c r="M122" s="159"/>
      <c r="N122" s="147"/>
      <c r="O122" s="141"/>
      <c r="P122" s="143"/>
      <c r="Q122" s="151"/>
      <c r="R122" s="154"/>
      <c r="S122" s="154"/>
    </row>
    <row r="123">
      <c r="A123" s="154"/>
      <c r="B123" s="154"/>
      <c r="C123" s="147"/>
      <c r="D123" s="153"/>
      <c r="E123" s="147"/>
      <c r="F123" s="141"/>
      <c r="G123" s="141"/>
      <c r="H123" s="151"/>
      <c r="I123" s="154"/>
      <c r="J123" s="154"/>
      <c r="K123" s="154"/>
      <c r="L123" s="147"/>
      <c r="M123" s="159"/>
      <c r="N123" s="147"/>
      <c r="O123" s="141"/>
      <c r="P123" s="143"/>
      <c r="Q123" s="151"/>
      <c r="R123" s="154"/>
      <c r="S123" s="154"/>
    </row>
    <row r="124">
      <c r="A124" s="154"/>
      <c r="B124" s="154"/>
      <c r="C124" s="147"/>
      <c r="D124" s="153"/>
      <c r="E124" s="147"/>
      <c r="F124" s="141"/>
      <c r="G124" s="141"/>
      <c r="H124" s="151"/>
      <c r="I124" s="154"/>
      <c r="J124" s="154"/>
      <c r="K124" s="154"/>
      <c r="L124" s="147"/>
      <c r="M124" s="159"/>
      <c r="N124" s="147"/>
      <c r="O124" s="141"/>
      <c r="P124" s="143"/>
      <c r="Q124" s="151"/>
      <c r="R124" s="154"/>
      <c r="S124" s="154"/>
    </row>
    <row r="125">
      <c r="A125" s="154"/>
      <c r="B125" s="154"/>
      <c r="C125" s="147"/>
      <c r="D125" s="153"/>
      <c r="E125" s="147"/>
      <c r="F125" s="141"/>
      <c r="G125" s="141"/>
      <c r="H125" s="151"/>
      <c r="I125" s="154"/>
      <c r="J125" s="154"/>
      <c r="K125" s="154"/>
      <c r="L125" s="147"/>
      <c r="M125" s="159"/>
      <c r="N125" s="147"/>
      <c r="O125" s="141"/>
      <c r="P125" s="143"/>
      <c r="Q125" s="151"/>
      <c r="R125" s="154"/>
      <c r="S125" s="154"/>
    </row>
    <row r="126">
      <c r="A126" s="154"/>
      <c r="B126" s="154"/>
      <c r="C126" s="147"/>
      <c r="D126" s="153"/>
      <c r="E126" s="147"/>
      <c r="F126" s="141"/>
      <c r="G126" s="141"/>
      <c r="H126" s="151"/>
      <c r="I126" s="154"/>
      <c r="J126" s="154"/>
      <c r="K126" s="154"/>
      <c r="L126" s="147"/>
      <c r="M126" s="159"/>
      <c r="N126" s="147"/>
      <c r="O126" s="141"/>
      <c r="P126" s="143"/>
      <c r="Q126" s="151"/>
      <c r="R126" s="154"/>
      <c r="S126" s="154"/>
    </row>
    <row r="127">
      <c r="A127" s="154"/>
      <c r="B127" s="154"/>
      <c r="C127" s="147"/>
      <c r="D127" s="153"/>
      <c r="E127" s="147"/>
      <c r="F127" s="141"/>
      <c r="G127" s="141"/>
      <c r="H127" s="151"/>
      <c r="I127" s="154"/>
      <c r="J127" s="154"/>
      <c r="K127" s="154"/>
      <c r="L127" s="147"/>
      <c r="M127" s="159"/>
      <c r="N127" s="147"/>
      <c r="O127" s="141"/>
      <c r="P127" s="143"/>
      <c r="Q127" s="151"/>
      <c r="R127" s="154"/>
      <c r="S127" s="154"/>
    </row>
    <row r="128">
      <c r="A128" s="154"/>
      <c r="B128" s="154"/>
      <c r="C128" s="147"/>
      <c r="D128" s="153"/>
      <c r="E128" s="147"/>
      <c r="F128" s="141"/>
      <c r="G128" s="141"/>
      <c r="H128" s="151"/>
      <c r="I128" s="154"/>
      <c r="J128" s="154"/>
      <c r="K128" s="154"/>
      <c r="L128" s="147"/>
      <c r="M128" s="159"/>
      <c r="N128" s="147"/>
      <c r="O128" s="141"/>
      <c r="P128" s="143"/>
      <c r="Q128" s="151"/>
      <c r="R128" s="154"/>
      <c r="S128" s="154"/>
    </row>
    <row r="129">
      <c r="A129" s="154"/>
      <c r="B129" s="154"/>
      <c r="C129" s="147"/>
      <c r="D129" s="153"/>
      <c r="E129" s="147"/>
      <c r="F129" s="141"/>
      <c r="G129" s="141"/>
      <c r="H129" s="151"/>
      <c r="I129" s="154"/>
      <c r="J129" s="154"/>
      <c r="K129" s="154"/>
      <c r="L129" s="147"/>
      <c r="M129" s="159"/>
      <c r="N129" s="147"/>
      <c r="O129" s="141"/>
      <c r="P129" s="143"/>
      <c r="Q129" s="151"/>
      <c r="R129" s="154"/>
      <c r="S129" s="154"/>
    </row>
    <row r="130">
      <c r="A130" s="154"/>
      <c r="B130" s="154"/>
      <c r="C130" s="147"/>
      <c r="D130" s="153"/>
      <c r="E130" s="147"/>
      <c r="F130" s="141"/>
      <c r="G130" s="141"/>
      <c r="H130" s="151"/>
      <c r="I130" s="154"/>
      <c r="J130" s="154"/>
      <c r="K130" s="154"/>
      <c r="L130" s="147"/>
      <c r="M130" s="159"/>
      <c r="N130" s="147"/>
      <c r="O130" s="141"/>
      <c r="P130" s="143"/>
      <c r="Q130" s="151"/>
      <c r="R130" s="154"/>
      <c r="S130" s="154"/>
    </row>
    <row r="131">
      <c r="A131" s="154"/>
      <c r="B131" s="154"/>
      <c r="C131" s="147"/>
      <c r="D131" s="153"/>
      <c r="E131" s="147"/>
      <c r="F131" s="141"/>
      <c r="G131" s="141"/>
      <c r="H131" s="151"/>
      <c r="I131" s="154"/>
      <c r="J131" s="154"/>
      <c r="K131" s="154"/>
      <c r="L131" s="147"/>
      <c r="M131" s="159"/>
      <c r="N131" s="147"/>
      <c r="O131" s="141"/>
      <c r="P131" s="143"/>
      <c r="Q131" s="151"/>
      <c r="R131" s="154"/>
      <c r="S131" s="154"/>
    </row>
    <row r="132">
      <c r="A132" s="154"/>
      <c r="B132" s="154"/>
      <c r="C132" s="147"/>
      <c r="D132" s="153"/>
      <c r="E132" s="147"/>
      <c r="F132" s="141"/>
      <c r="G132" s="141"/>
      <c r="H132" s="151"/>
      <c r="I132" s="154"/>
      <c r="J132" s="154"/>
      <c r="K132" s="154"/>
      <c r="L132" s="147"/>
      <c r="M132" s="159"/>
      <c r="N132" s="147"/>
      <c r="O132" s="141"/>
      <c r="P132" s="143"/>
      <c r="Q132" s="151"/>
      <c r="R132" s="154"/>
      <c r="S132" s="154"/>
    </row>
    <row r="133">
      <c r="A133" s="154"/>
      <c r="B133" s="154"/>
      <c r="C133" s="147"/>
      <c r="D133" s="153"/>
      <c r="E133" s="147"/>
      <c r="F133" s="141"/>
      <c r="G133" s="141"/>
      <c r="H133" s="151"/>
      <c r="I133" s="154"/>
      <c r="J133" s="154"/>
      <c r="K133" s="154"/>
      <c r="L133" s="147"/>
      <c r="M133" s="159"/>
      <c r="N133" s="147"/>
      <c r="O133" s="141"/>
      <c r="P133" s="143"/>
      <c r="Q133" s="151"/>
      <c r="R133" s="154"/>
      <c r="S133" s="154"/>
    </row>
    <row r="134">
      <c r="A134" s="154"/>
      <c r="B134" s="154"/>
      <c r="C134" s="147"/>
      <c r="D134" s="153"/>
      <c r="E134" s="147"/>
      <c r="F134" s="141"/>
      <c r="G134" s="141"/>
      <c r="H134" s="151"/>
      <c r="I134" s="154"/>
      <c r="J134" s="154"/>
      <c r="K134" s="154"/>
      <c r="L134" s="147"/>
      <c r="M134" s="159"/>
      <c r="N134" s="147"/>
      <c r="O134" s="141"/>
      <c r="P134" s="143"/>
      <c r="Q134" s="151"/>
      <c r="R134" s="154"/>
      <c r="S134" s="154"/>
    </row>
    <row r="135">
      <c r="A135" s="154"/>
      <c r="B135" s="154"/>
      <c r="C135" s="147"/>
      <c r="D135" s="153"/>
      <c r="E135" s="147"/>
      <c r="F135" s="141"/>
      <c r="G135" s="141"/>
      <c r="H135" s="151"/>
      <c r="I135" s="154"/>
      <c r="J135" s="154"/>
      <c r="K135" s="154"/>
      <c r="L135" s="147"/>
      <c r="M135" s="159"/>
      <c r="N135" s="147"/>
      <c r="O135" s="141"/>
      <c r="P135" s="143"/>
      <c r="Q135" s="151"/>
      <c r="R135" s="154"/>
      <c r="S135" s="154"/>
    </row>
    <row r="136">
      <c r="A136" s="154"/>
      <c r="B136" s="154"/>
      <c r="C136" s="147"/>
      <c r="D136" s="153"/>
      <c r="E136" s="147"/>
      <c r="F136" s="141"/>
      <c r="G136" s="141"/>
      <c r="H136" s="151"/>
      <c r="I136" s="154"/>
      <c r="J136" s="154"/>
      <c r="K136" s="154"/>
      <c r="L136" s="147"/>
      <c r="M136" s="159"/>
      <c r="N136" s="147"/>
      <c r="O136" s="141"/>
      <c r="P136" s="143"/>
      <c r="Q136" s="151"/>
      <c r="R136" s="154"/>
      <c r="S136" s="154"/>
    </row>
    <row r="137">
      <c r="A137" s="154"/>
      <c r="B137" s="154"/>
      <c r="C137" s="147"/>
      <c r="D137" s="153"/>
      <c r="E137" s="147"/>
      <c r="F137" s="141"/>
      <c r="G137" s="141"/>
      <c r="H137" s="151"/>
      <c r="I137" s="154"/>
      <c r="J137" s="154"/>
      <c r="K137" s="154"/>
      <c r="L137" s="147"/>
      <c r="M137" s="159"/>
      <c r="N137" s="147"/>
      <c r="O137" s="141"/>
      <c r="P137" s="143"/>
      <c r="Q137" s="151"/>
      <c r="R137" s="154"/>
      <c r="S137" s="154"/>
    </row>
    <row r="138">
      <c r="A138" s="154"/>
      <c r="B138" s="154"/>
      <c r="C138" s="147"/>
      <c r="D138" s="153"/>
      <c r="E138" s="147"/>
      <c r="F138" s="141"/>
      <c r="G138" s="141"/>
      <c r="H138" s="151"/>
      <c r="I138" s="154"/>
      <c r="J138" s="154"/>
      <c r="K138" s="154"/>
      <c r="L138" s="147"/>
      <c r="M138" s="159"/>
      <c r="N138" s="147"/>
      <c r="O138" s="141"/>
      <c r="P138" s="143"/>
      <c r="Q138" s="151"/>
      <c r="R138" s="154"/>
      <c r="S138" s="154"/>
    </row>
    <row r="139">
      <c r="A139" s="154"/>
      <c r="B139" s="154"/>
      <c r="C139" s="147"/>
      <c r="D139" s="153"/>
      <c r="E139" s="147"/>
      <c r="F139" s="141"/>
      <c r="G139" s="141"/>
      <c r="H139" s="151"/>
      <c r="I139" s="154"/>
      <c r="J139" s="154"/>
      <c r="K139" s="154"/>
      <c r="L139" s="147"/>
      <c r="M139" s="159"/>
      <c r="N139" s="147"/>
      <c r="O139" s="141"/>
      <c r="P139" s="143"/>
      <c r="Q139" s="151"/>
      <c r="R139" s="154"/>
      <c r="S139" s="154"/>
    </row>
    <row r="140">
      <c r="A140" s="154"/>
      <c r="B140" s="154"/>
      <c r="C140" s="147"/>
      <c r="D140" s="153"/>
      <c r="E140" s="147"/>
      <c r="F140" s="141"/>
      <c r="G140" s="141"/>
      <c r="H140" s="151"/>
      <c r="I140" s="154"/>
      <c r="J140" s="154"/>
      <c r="K140" s="154"/>
      <c r="L140" s="147"/>
      <c r="M140" s="159"/>
      <c r="N140" s="147"/>
      <c r="O140" s="141"/>
      <c r="P140" s="143"/>
      <c r="Q140" s="151"/>
      <c r="R140" s="154"/>
      <c r="S140" s="154"/>
    </row>
    <row r="141">
      <c r="A141" s="154"/>
      <c r="B141" s="154"/>
      <c r="C141" s="147"/>
      <c r="D141" s="153"/>
      <c r="E141" s="147"/>
      <c r="F141" s="141"/>
      <c r="G141" s="141"/>
      <c r="H141" s="151"/>
      <c r="I141" s="154"/>
      <c r="J141" s="154"/>
      <c r="K141" s="154"/>
      <c r="L141" s="147"/>
      <c r="M141" s="159"/>
      <c r="N141" s="147"/>
      <c r="O141" s="141"/>
      <c r="P141" s="143"/>
      <c r="Q141" s="151"/>
      <c r="R141" s="154"/>
      <c r="S141" s="154"/>
    </row>
    <row r="142">
      <c r="A142" s="154"/>
      <c r="B142" s="154"/>
      <c r="C142" s="147"/>
      <c r="D142" s="153"/>
      <c r="E142" s="147"/>
      <c r="F142" s="141"/>
      <c r="G142" s="141"/>
      <c r="H142" s="151"/>
      <c r="I142" s="154"/>
      <c r="J142" s="154"/>
      <c r="K142" s="154"/>
      <c r="L142" s="147"/>
      <c r="M142" s="159"/>
      <c r="N142" s="147"/>
      <c r="O142" s="141"/>
      <c r="P142" s="143"/>
      <c r="Q142" s="151"/>
      <c r="R142" s="154"/>
      <c r="S142" s="154"/>
    </row>
    <row r="143">
      <c r="A143" s="154"/>
      <c r="B143" s="154"/>
      <c r="C143" s="147"/>
      <c r="D143" s="153"/>
      <c r="E143" s="147"/>
      <c r="F143" s="141"/>
      <c r="G143" s="141"/>
      <c r="H143" s="151"/>
      <c r="I143" s="154"/>
      <c r="J143" s="154"/>
      <c r="K143" s="154"/>
      <c r="L143" s="147"/>
      <c r="M143" s="159"/>
      <c r="N143" s="147"/>
      <c r="O143" s="141"/>
      <c r="P143" s="143"/>
      <c r="Q143" s="151"/>
      <c r="R143" s="154"/>
      <c r="S143" s="154"/>
    </row>
    <row r="144">
      <c r="A144" s="154"/>
      <c r="B144" s="154"/>
      <c r="C144" s="147"/>
      <c r="D144" s="153"/>
      <c r="E144" s="147"/>
      <c r="F144" s="141"/>
      <c r="G144" s="141"/>
      <c r="H144" s="151"/>
      <c r="I144" s="154"/>
      <c r="J144" s="154"/>
      <c r="K144" s="154"/>
      <c r="L144" s="147"/>
      <c r="M144" s="159"/>
      <c r="N144" s="147"/>
      <c r="O144" s="141"/>
      <c r="P144" s="143"/>
      <c r="Q144" s="151"/>
      <c r="R144" s="154"/>
      <c r="S144" s="154"/>
    </row>
    <row r="145">
      <c r="A145" s="154"/>
      <c r="B145" s="154"/>
      <c r="C145" s="147"/>
      <c r="D145" s="153"/>
      <c r="E145" s="147"/>
      <c r="F145" s="141"/>
      <c r="G145" s="141"/>
      <c r="H145" s="151"/>
      <c r="I145" s="154"/>
      <c r="J145" s="154"/>
      <c r="K145" s="154"/>
      <c r="L145" s="147"/>
      <c r="M145" s="159"/>
      <c r="N145" s="147"/>
      <c r="O145" s="141"/>
      <c r="P145" s="143"/>
      <c r="Q145" s="151"/>
      <c r="R145" s="154"/>
      <c r="S145" s="154"/>
    </row>
    <row r="146">
      <c r="A146" s="154"/>
      <c r="B146" s="154"/>
      <c r="C146" s="147"/>
      <c r="D146" s="153"/>
      <c r="E146" s="147"/>
      <c r="F146" s="141"/>
      <c r="G146" s="141"/>
      <c r="H146" s="151"/>
      <c r="I146" s="154"/>
      <c r="J146" s="154"/>
      <c r="K146" s="154"/>
      <c r="L146" s="147"/>
      <c r="M146" s="159"/>
      <c r="N146" s="147"/>
      <c r="O146" s="141"/>
      <c r="P146" s="143"/>
      <c r="Q146" s="151"/>
      <c r="R146" s="154"/>
      <c r="S146" s="154"/>
    </row>
    <row r="147">
      <c r="A147" s="154"/>
      <c r="B147" s="154"/>
      <c r="C147" s="147"/>
      <c r="D147" s="153"/>
      <c r="E147" s="147"/>
      <c r="F147" s="141"/>
      <c r="G147" s="141"/>
      <c r="H147" s="151"/>
      <c r="I147" s="154"/>
      <c r="J147" s="154"/>
      <c r="K147" s="154"/>
      <c r="L147" s="147"/>
      <c r="M147" s="159"/>
      <c r="N147" s="147"/>
      <c r="O147" s="141"/>
      <c r="P147" s="143"/>
      <c r="Q147" s="151"/>
      <c r="R147" s="154"/>
      <c r="S147" s="154"/>
    </row>
    <row r="148">
      <c r="A148" s="154"/>
      <c r="B148" s="154"/>
      <c r="C148" s="147"/>
      <c r="D148" s="153"/>
      <c r="E148" s="147"/>
      <c r="F148" s="141"/>
      <c r="G148" s="141"/>
      <c r="H148" s="151"/>
      <c r="I148" s="154"/>
      <c r="J148" s="154"/>
      <c r="K148" s="154"/>
      <c r="L148" s="147"/>
      <c r="M148" s="159"/>
      <c r="N148" s="147"/>
      <c r="O148" s="141"/>
      <c r="P148" s="143"/>
      <c r="Q148" s="151"/>
      <c r="R148" s="154"/>
      <c r="S148" s="154"/>
    </row>
    <row r="149">
      <c r="A149" s="154"/>
      <c r="B149" s="154"/>
      <c r="C149" s="147"/>
      <c r="D149" s="153"/>
      <c r="E149" s="147"/>
      <c r="F149" s="141"/>
      <c r="G149" s="141"/>
      <c r="H149" s="151"/>
      <c r="I149" s="154"/>
      <c r="J149" s="154"/>
      <c r="K149" s="154"/>
      <c r="L149" s="147"/>
      <c r="M149" s="159"/>
      <c r="N149" s="147"/>
      <c r="O149" s="141"/>
      <c r="P149" s="143"/>
      <c r="Q149" s="151"/>
      <c r="R149" s="154"/>
      <c r="S149" s="154"/>
    </row>
    <row r="150">
      <c r="A150" s="154"/>
      <c r="B150" s="154"/>
      <c r="C150" s="147"/>
      <c r="D150" s="153"/>
      <c r="E150" s="147"/>
      <c r="F150" s="141"/>
      <c r="G150" s="141"/>
      <c r="H150" s="151"/>
      <c r="I150" s="154"/>
      <c r="J150" s="154"/>
      <c r="K150" s="154"/>
      <c r="L150" s="147"/>
      <c r="M150" s="159"/>
      <c r="N150" s="147"/>
      <c r="O150" s="141"/>
      <c r="P150" s="143"/>
      <c r="Q150" s="151"/>
      <c r="R150" s="154"/>
      <c r="S150" s="154"/>
    </row>
    <row r="151">
      <c r="A151" s="154"/>
      <c r="B151" s="154"/>
      <c r="C151" s="147"/>
      <c r="D151" s="153"/>
      <c r="E151" s="147"/>
      <c r="F151" s="141"/>
      <c r="G151" s="141"/>
      <c r="H151" s="151"/>
      <c r="I151" s="154"/>
      <c r="J151" s="154"/>
      <c r="K151" s="154"/>
      <c r="L151" s="147"/>
      <c r="M151" s="159"/>
      <c r="N151" s="147"/>
      <c r="O151" s="141"/>
      <c r="P151" s="143"/>
      <c r="Q151" s="151"/>
      <c r="R151" s="154"/>
      <c r="S151" s="154"/>
    </row>
    <row r="152">
      <c r="A152" s="154"/>
      <c r="B152" s="154"/>
      <c r="C152" s="147"/>
      <c r="D152" s="153"/>
      <c r="E152" s="147"/>
      <c r="F152" s="141"/>
      <c r="G152" s="141"/>
      <c r="H152" s="151"/>
      <c r="I152" s="154"/>
      <c r="J152" s="154"/>
      <c r="K152" s="154"/>
      <c r="L152" s="147"/>
      <c r="M152" s="159"/>
      <c r="N152" s="147"/>
      <c r="O152" s="141"/>
      <c r="P152" s="143"/>
      <c r="Q152" s="151"/>
      <c r="R152" s="154"/>
      <c r="S152" s="154"/>
    </row>
    <row r="153">
      <c r="A153" s="154"/>
      <c r="B153" s="154"/>
      <c r="C153" s="147"/>
      <c r="D153" s="153"/>
      <c r="E153" s="147"/>
      <c r="F153" s="141"/>
      <c r="G153" s="141"/>
      <c r="H153" s="151"/>
      <c r="I153" s="154"/>
      <c r="J153" s="154"/>
      <c r="K153" s="154"/>
      <c r="L153" s="147"/>
      <c r="M153" s="159"/>
      <c r="N153" s="147"/>
      <c r="O153" s="141"/>
      <c r="P153" s="143"/>
      <c r="Q153" s="151"/>
      <c r="R153" s="154"/>
      <c r="S153" s="154"/>
    </row>
    <row r="154">
      <c r="A154" s="154"/>
      <c r="B154" s="154"/>
      <c r="C154" s="147"/>
      <c r="D154" s="153"/>
      <c r="E154" s="147"/>
      <c r="F154" s="141"/>
      <c r="G154" s="141"/>
      <c r="H154" s="151"/>
      <c r="I154" s="154"/>
      <c r="J154" s="154"/>
      <c r="K154" s="154"/>
      <c r="L154" s="147"/>
      <c r="M154" s="159"/>
      <c r="N154" s="147"/>
      <c r="O154" s="141"/>
      <c r="P154" s="143"/>
      <c r="Q154" s="151"/>
      <c r="R154" s="154"/>
      <c r="S154" s="154"/>
    </row>
    <row r="155">
      <c r="A155" s="154"/>
      <c r="B155" s="154"/>
      <c r="C155" s="147"/>
      <c r="D155" s="153"/>
      <c r="E155" s="147"/>
      <c r="F155" s="141"/>
      <c r="G155" s="141"/>
      <c r="H155" s="151"/>
      <c r="I155" s="154"/>
      <c r="J155" s="154"/>
      <c r="K155" s="154"/>
      <c r="L155" s="147"/>
      <c r="M155" s="159"/>
      <c r="N155" s="147"/>
      <c r="O155" s="141"/>
      <c r="P155" s="143"/>
      <c r="Q155" s="151"/>
      <c r="R155" s="154"/>
      <c r="S155" s="154"/>
    </row>
    <row r="156">
      <c r="A156" s="154"/>
      <c r="B156" s="154"/>
      <c r="C156" s="147"/>
      <c r="D156" s="153"/>
      <c r="E156" s="147"/>
      <c r="F156" s="141"/>
      <c r="G156" s="141"/>
      <c r="H156" s="151"/>
      <c r="I156" s="154"/>
      <c r="J156" s="154"/>
      <c r="K156" s="154"/>
      <c r="L156" s="147"/>
      <c r="M156" s="159"/>
      <c r="N156" s="147"/>
      <c r="O156" s="141"/>
      <c r="P156" s="143"/>
      <c r="Q156" s="151"/>
      <c r="R156" s="154"/>
      <c r="S156" s="154"/>
    </row>
    <row r="157">
      <c r="A157" s="154"/>
      <c r="B157" s="154"/>
      <c r="C157" s="147"/>
      <c r="D157" s="153"/>
      <c r="E157" s="147"/>
      <c r="F157" s="141"/>
      <c r="G157" s="141"/>
      <c r="H157" s="151"/>
      <c r="I157" s="154"/>
      <c r="J157" s="154"/>
      <c r="K157" s="154"/>
      <c r="L157" s="147"/>
      <c r="M157" s="159"/>
      <c r="N157" s="147"/>
      <c r="O157" s="141"/>
      <c r="P157" s="143"/>
      <c r="Q157" s="151"/>
      <c r="R157" s="154"/>
      <c r="S157" s="154"/>
    </row>
    <row r="158">
      <c r="A158" s="154"/>
      <c r="B158" s="154"/>
      <c r="C158" s="147"/>
      <c r="D158" s="153"/>
      <c r="E158" s="147"/>
      <c r="F158" s="141"/>
      <c r="G158" s="141"/>
      <c r="H158" s="151"/>
      <c r="I158" s="154"/>
      <c r="J158" s="154"/>
      <c r="K158" s="154"/>
      <c r="L158" s="147"/>
      <c r="M158" s="159"/>
      <c r="N158" s="147"/>
      <c r="O158" s="141"/>
      <c r="P158" s="143"/>
      <c r="Q158" s="151"/>
      <c r="R158" s="154"/>
      <c r="S158" s="154"/>
    </row>
    <row r="159">
      <c r="A159" s="154"/>
      <c r="B159" s="154"/>
      <c r="C159" s="147"/>
      <c r="D159" s="153"/>
      <c r="E159" s="147"/>
      <c r="F159" s="141"/>
      <c r="G159" s="141"/>
      <c r="H159" s="151"/>
      <c r="I159" s="154"/>
      <c r="J159" s="154"/>
      <c r="K159" s="154"/>
      <c r="L159" s="147"/>
      <c r="M159" s="159"/>
      <c r="N159" s="147"/>
      <c r="O159" s="141"/>
      <c r="P159" s="143"/>
      <c r="Q159" s="151"/>
      <c r="R159" s="154"/>
      <c r="S159" s="154"/>
    </row>
    <row r="160">
      <c r="A160" s="154"/>
      <c r="B160" s="154"/>
      <c r="C160" s="147"/>
      <c r="D160" s="153"/>
      <c r="E160" s="147"/>
      <c r="F160" s="141"/>
      <c r="G160" s="141"/>
      <c r="H160" s="151"/>
      <c r="I160" s="154"/>
      <c r="J160" s="154"/>
      <c r="K160" s="154"/>
      <c r="L160" s="147"/>
      <c r="M160" s="159"/>
      <c r="N160" s="147"/>
      <c r="O160" s="141"/>
      <c r="P160" s="143"/>
      <c r="Q160" s="151"/>
      <c r="R160" s="154"/>
      <c r="S160" s="154"/>
    </row>
    <row r="161">
      <c r="A161" s="154"/>
      <c r="B161" s="154"/>
      <c r="C161" s="147"/>
      <c r="D161" s="153"/>
      <c r="E161" s="147"/>
      <c r="F161" s="141"/>
      <c r="G161" s="141"/>
      <c r="H161" s="151"/>
      <c r="I161" s="154"/>
      <c r="J161" s="154"/>
      <c r="K161" s="154"/>
      <c r="L161" s="147"/>
      <c r="M161" s="159"/>
      <c r="N161" s="147"/>
      <c r="O161" s="141"/>
      <c r="P161" s="143"/>
      <c r="Q161" s="151"/>
      <c r="R161" s="154"/>
      <c r="S161" s="154"/>
    </row>
    <row r="162">
      <c r="A162" s="154"/>
      <c r="B162" s="154"/>
      <c r="C162" s="147"/>
      <c r="D162" s="153"/>
      <c r="E162" s="147"/>
      <c r="F162" s="141"/>
      <c r="G162" s="141"/>
      <c r="H162" s="151"/>
      <c r="I162" s="154"/>
      <c r="J162" s="154"/>
      <c r="K162" s="154"/>
      <c r="L162" s="147"/>
      <c r="M162" s="159"/>
      <c r="N162" s="147"/>
      <c r="O162" s="141"/>
      <c r="P162" s="143"/>
      <c r="Q162" s="151"/>
      <c r="R162" s="154"/>
      <c r="S162" s="154"/>
    </row>
    <row r="163">
      <c r="A163" s="154"/>
      <c r="B163" s="154"/>
      <c r="C163" s="147"/>
      <c r="D163" s="153"/>
      <c r="E163" s="147"/>
      <c r="F163" s="141"/>
      <c r="G163" s="141"/>
      <c r="H163" s="151"/>
      <c r="I163" s="154"/>
      <c r="J163" s="154"/>
      <c r="K163" s="154"/>
      <c r="L163" s="147"/>
      <c r="M163" s="159"/>
      <c r="N163" s="147"/>
      <c r="O163" s="141"/>
      <c r="P163" s="143"/>
      <c r="Q163" s="151"/>
      <c r="R163" s="154"/>
      <c r="S163" s="154"/>
    </row>
    <row r="164">
      <c r="A164" s="154"/>
      <c r="B164" s="154"/>
      <c r="C164" s="147"/>
      <c r="D164" s="153"/>
      <c r="E164" s="147"/>
      <c r="F164" s="141"/>
      <c r="G164" s="141"/>
      <c r="H164" s="151"/>
      <c r="I164" s="154"/>
      <c r="J164" s="154"/>
      <c r="K164" s="154"/>
      <c r="L164" s="147"/>
      <c r="M164" s="159"/>
      <c r="N164" s="147"/>
      <c r="O164" s="141"/>
      <c r="P164" s="143"/>
      <c r="Q164" s="151"/>
      <c r="R164" s="154"/>
      <c r="S164" s="154"/>
    </row>
    <row r="165">
      <c r="A165" s="154"/>
      <c r="B165" s="154"/>
      <c r="C165" s="147"/>
      <c r="D165" s="153"/>
      <c r="E165" s="147"/>
      <c r="F165" s="141"/>
      <c r="G165" s="141"/>
      <c r="H165" s="151"/>
      <c r="I165" s="154"/>
      <c r="J165" s="154"/>
      <c r="K165" s="154"/>
      <c r="L165" s="147"/>
      <c r="M165" s="159"/>
      <c r="N165" s="147"/>
      <c r="O165" s="141"/>
      <c r="P165" s="143"/>
      <c r="Q165" s="151"/>
      <c r="R165" s="154"/>
      <c r="S165" s="154"/>
    </row>
    <row r="166">
      <c r="A166" s="154"/>
      <c r="B166" s="154"/>
      <c r="C166" s="147"/>
      <c r="D166" s="153"/>
      <c r="E166" s="147"/>
      <c r="F166" s="141"/>
      <c r="G166" s="141"/>
      <c r="H166" s="151"/>
      <c r="I166" s="154"/>
      <c r="J166" s="154"/>
      <c r="K166" s="154"/>
      <c r="L166" s="147"/>
      <c r="M166" s="159"/>
      <c r="N166" s="147"/>
      <c r="O166" s="141"/>
      <c r="P166" s="143"/>
      <c r="Q166" s="151"/>
      <c r="R166" s="154"/>
      <c r="S166" s="154"/>
    </row>
    <row r="167">
      <c r="A167" s="154"/>
      <c r="B167" s="154"/>
      <c r="C167" s="147"/>
      <c r="D167" s="153"/>
      <c r="E167" s="147"/>
      <c r="F167" s="141"/>
      <c r="G167" s="141"/>
      <c r="H167" s="151"/>
      <c r="I167" s="154"/>
      <c r="J167" s="154"/>
      <c r="K167" s="154"/>
      <c r="L167" s="147"/>
      <c r="M167" s="159"/>
      <c r="N167" s="147"/>
      <c r="O167" s="141"/>
      <c r="P167" s="143"/>
      <c r="Q167" s="151"/>
      <c r="R167" s="154"/>
      <c r="S167" s="154"/>
    </row>
    <row r="168">
      <c r="A168" s="154"/>
      <c r="B168" s="154"/>
      <c r="C168" s="147"/>
      <c r="D168" s="153"/>
      <c r="E168" s="147"/>
      <c r="F168" s="141"/>
      <c r="G168" s="141"/>
      <c r="H168" s="151"/>
      <c r="I168" s="154"/>
      <c r="J168" s="154"/>
      <c r="K168" s="154"/>
      <c r="L168" s="147"/>
      <c r="M168" s="159"/>
      <c r="N168" s="147"/>
      <c r="O168" s="141"/>
      <c r="P168" s="143"/>
      <c r="Q168" s="151"/>
      <c r="R168" s="154"/>
      <c r="S168" s="154"/>
    </row>
    <row r="169">
      <c r="A169" s="154"/>
      <c r="B169" s="154"/>
      <c r="C169" s="147"/>
      <c r="D169" s="153"/>
      <c r="E169" s="147"/>
      <c r="F169" s="141"/>
      <c r="G169" s="141"/>
      <c r="H169" s="151"/>
      <c r="I169" s="154"/>
      <c r="J169" s="154"/>
      <c r="K169" s="154"/>
      <c r="L169" s="147"/>
      <c r="M169" s="159"/>
      <c r="N169" s="147"/>
      <c r="O169" s="141"/>
      <c r="P169" s="143"/>
      <c r="Q169" s="151"/>
      <c r="R169" s="154"/>
      <c r="S169" s="154"/>
    </row>
    <row r="170">
      <c r="A170" s="154"/>
      <c r="B170" s="154"/>
      <c r="C170" s="147"/>
      <c r="D170" s="153"/>
      <c r="E170" s="147"/>
      <c r="F170" s="141"/>
      <c r="G170" s="141"/>
      <c r="H170" s="151"/>
      <c r="I170" s="154"/>
      <c r="J170" s="154"/>
      <c r="K170" s="154"/>
      <c r="L170" s="147"/>
      <c r="M170" s="159"/>
      <c r="N170" s="147"/>
      <c r="O170" s="141"/>
      <c r="P170" s="143"/>
      <c r="Q170" s="151"/>
      <c r="R170" s="154"/>
      <c r="S170" s="154"/>
    </row>
    <row r="171">
      <c r="A171" s="154"/>
      <c r="B171" s="154"/>
      <c r="C171" s="147"/>
      <c r="D171" s="153"/>
      <c r="E171" s="147"/>
      <c r="F171" s="141"/>
      <c r="G171" s="141"/>
      <c r="H171" s="151"/>
      <c r="I171" s="154"/>
      <c r="J171" s="154"/>
      <c r="K171" s="154"/>
      <c r="L171" s="147"/>
      <c r="M171" s="159"/>
      <c r="N171" s="147"/>
      <c r="O171" s="141"/>
      <c r="P171" s="143"/>
      <c r="Q171" s="151"/>
      <c r="R171" s="154"/>
      <c r="S171" s="154"/>
    </row>
    <row r="172">
      <c r="A172" s="154"/>
      <c r="B172" s="154"/>
      <c r="C172" s="147"/>
      <c r="D172" s="153"/>
      <c r="E172" s="147"/>
      <c r="F172" s="141"/>
      <c r="G172" s="141"/>
      <c r="H172" s="151"/>
      <c r="I172" s="154"/>
      <c r="J172" s="154"/>
      <c r="K172" s="154"/>
      <c r="L172" s="147"/>
      <c r="M172" s="159"/>
      <c r="N172" s="147"/>
      <c r="O172" s="141"/>
      <c r="P172" s="143"/>
      <c r="Q172" s="151"/>
      <c r="R172" s="154"/>
      <c r="S172" s="154"/>
    </row>
    <row r="173">
      <c r="A173" s="154"/>
      <c r="B173" s="154"/>
      <c r="C173" s="147"/>
      <c r="D173" s="153"/>
      <c r="E173" s="147"/>
      <c r="F173" s="141"/>
      <c r="G173" s="141"/>
      <c r="H173" s="151"/>
      <c r="I173" s="154"/>
      <c r="J173" s="154"/>
      <c r="K173" s="154"/>
      <c r="L173" s="147"/>
      <c r="M173" s="159"/>
      <c r="N173" s="147"/>
      <c r="O173" s="141"/>
      <c r="P173" s="143"/>
      <c r="Q173" s="151"/>
      <c r="R173" s="154"/>
      <c r="S173" s="154"/>
    </row>
    <row r="174">
      <c r="A174" s="154"/>
      <c r="B174" s="154"/>
      <c r="C174" s="147"/>
      <c r="D174" s="153"/>
      <c r="E174" s="147"/>
      <c r="F174" s="141"/>
      <c r="G174" s="141"/>
      <c r="H174" s="151"/>
      <c r="I174" s="154"/>
      <c r="J174" s="154"/>
      <c r="K174" s="154"/>
      <c r="L174" s="147"/>
      <c r="M174" s="159"/>
      <c r="N174" s="147"/>
      <c r="O174" s="141"/>
      <c r="P174" s="143"/>
      <c r="Q174" s="151"/>
      <c r="R174" s="154"/>
      <c r="S174" s="154"/>
    </row>
    <row r="175">
      <c r="A175" s="154"/>
      <c r="B175" s="154"/>
      <c r="C175" s="147"/>
      <c r="D175" s="153"/>
      <c r="E175" s="147"/>
      <c r="F175" s="141"/>
      <c r="G175" s="141"/>
      <c r="H175" s="151"/>
      <c r="I175" s="154"/>
      <c r="J175" s="154"/>
      <c r="K175" s="154"/>
      <c r="L175" s="147"/>
      <c r="M175" s="159"/>
      <c r="N175" s="147"/>
      <c r="O175" s="141"/>
      <c r="P175" s="143"/>
      <c r="Q175" s="151"/>
      <c r="R175" s="154"/>
      <c r="S175" s="154"/>
    </row>
    <row r="176">
      <c r="A176" s="154"/>
      <c r="B176" s="154"/>
      <c r="C176" s="147"/>
      <c r="D176" s="153"/>
      <c r="E176" s="147"/>
      <c r="F176" s="141"/>
      <c r="G176" s="141"/>
      <c r="H176" s="151"/>
      <c r="I176" s="154"/>
      <c r="J176" s="154"/>
      <c r="K176" s="154"/>
      <c r="L176" s="147"/>
      <c r="M176" s="159"/>
      <c r="N176" s="147"/>
      <c r="O176" s="141"/>
      <c r="P176" s="143"/>
      <c r="Q176" s="151"/>
      <c r="R176" s="154"/>
      <c r="S176" s="154"/>
    </row>
    <row r="177">
      <c r="A177" s="154"/>
      <c r="B177" s="154"/>
      <c r="C177" s="147"/>
      <c r="D177" s="153"/>
      <c r="E177" s="147"/>
      <c r="F177" s="141"/>
      <c r="G177" s="141"/>
      <c r="H177" s="151"/>
      <c r="I177" s="154"/>
      <c r="J177" s="154"/>
      <c r="K177" s="154"/>
      <c r="L177" s="147"/>
      <c r="M177" s="159"/>
      <c r="N177" s="147"/>
      <c r="O177" s="141"/>
      <c r="P177" s="143"/>
      <c r="Q177" s="151"/>
      <c r="R177" s="154"/>
      <c r="S177" s="154"/>
    </row>
    <row r="178">
      <c r="A178" s="154"/>
      <c r="B178" s="154"/>
      <c r="C178" s="147"/>
      <c r="D178" s="153"/>
      <c r="E178" s="147"/>
      <c r="F178" s="141"/>
      <c r="G178" s="141"/>
      <c r="H178" s="151"/>
      <c r="I178" s="154"/>
      <c r="J178" s="154"/>
      <c r="K178" s="154"/>
      <c r="L178" s="147"/>
      <c r="M178" s="159"/>
      <c r="N178" s="147"/>
      <c r="O178" s="141"/>
      <c r="P178" s="143"/>
      <c r="Q178" s="151"/>
      <c r="R178" s="154"/>
      <c r="S178" s="154"/>
    </row>
    <row r="179">
      <c r="A179" s="154"/>
      <c r="B179" s="154"/>
      <c r="C179" s="147"/>
      <c r="D179" s="153"/>
      <c r="E179" s="147"/>
      <c r="F179" s="141"/>
      <c r="G179" s="141"/>
      <c r="H179" s="151"/>
      <c r="I179" s="154"/>
      <c r="J179" s="154"/>
      <c r="K179" s="154"/>
      <c r="L179" s="147"/>
      <c r="M179" s="159"/>
      <c r="N179" s="147"/>
      <c r="O179" s="141"/>
      <c r="P179" s="143"/>
      <c r="Q179" s="151"/>
      <c r="R179" s="154"/>
      <c r="S179" s="154"/>
    </row>
    <row r="180">
      <c r="A180" s="154"/>
      <c r="B180" s="154"/>
      <c r="C180" s="147"/>
      <c r="D180" s="153"/>
      <c r="E180" s="147"/>
      <c r="F180" s="141"/>
      <c r="G180" s="141"/>
      <c r="H180" s="151"/>
      <c r="I180" s="154"/>
      <c r="J180" s="154"/>
      <c r="K180" s="154"/>
      <c r="L180" s="147"/>
      <c r="M180" s="159"/>
      <c r="N180" s="147"/>
      <c r="O180" s="141"/>
      <c r="P180" s="143"/>
      <c r="Q180" s="151"/>
      <c r="R180" s="154"/>
      <c r="S180" s="154"/>
    </row>
    <row r="181">
      <c r="A181" s="154"/>
      <c r="B181" s="154"/>
      <c r="C181" s="147"/>
      <c r="D181" s="153"/>
      <c r="E181" s="147"/>
      <c r="F181" s="141"/>
      <c r="G181" s="141"/>
      <c r="H181" s="151"/>
      <c r="I181" s="154"/>
      <c r="J181" s="154"/>
      <c r="K181" s="154"/>
      <c r="L181" s="147"/>
      <c r="M181" s="159"/>
      <c r="N181" s="147"/>
      <c r="O181" s="141"/>
      <c r="P181" s="143"/>
      <c r="Q181" s="151"/>
      <c r="R181" s="154"/>
      <c r="S181" s="154"/>
    </row>
    <row r="182">
      <c r="A182" s="154"/>
      <c r="B182" s="154"/>
      <c r="C182" s="147"/>
      <c r="D182" s="153"/>
      <c r="E182" s="147"/>
      <c r="F182" s="141"/>
      <c r="G182" s="141"/>
      <c r="H182" s="151"/>
      <c r="I182" s="154"/>
      <c r="J182" s="154"/>
      <c r="K182" s="154"/>
      <c r="L182" s="147"/>
      <c r="M182" s="159"/>
      <c r="N182" s="147"/>
      <c r="O182" s="141"/>
      <c r="P182" s="143"/>
      <c r="Q182" s="151"/>
      <c r="R182" s="154"/>
      <c r="S182" s="154"/>
    </row>
    <row r="183">
      <c r="A183" s="154"/>
      <c r="B183" s="154"/>
      <c r="C183" s="147"/>
      <c r="D183" s="153"/>
      <c r="E183" s="147"/>
      <c r="F183" s="141"/>
      <c r="G183" s="141"/>
      <c r="H183" s="151"/>
      <c r="I183" s="154"/>
      <c r="J183" s="154"/>
      <c r="K183" s="154"/>
      <c r="L183" s="147"/>
      <c r="M183" s="159"/>
      <c r="N183" s="147"/>
      <c r="O183" s="141"/>
      <c r="P183" s="143"/>
      <c r="Q183" s="151"/>
      <c r="R183" s="154"/>
      <c r="S183" s="154"/>
    </row>
    <row r="184">
      <c r="A184" s="154"/>
      <c r="B184" s="154"/>
      <c r="C184" s="147"/>
      <c r="D184" s="153"/>
      <c r="E184" s="147"/>
      <c r="F184" s="141"/>
      <c r="G184" s="141"/>
      <c r="H184" s="151"/>
      <c r="I184" s="154"/>
      <c r="J184" s="154"/>
      <c r="K184" s="154"/>
      <c r="L184" s="147"/>
      <c r="M184" s="159"/>
      <c r="N184" s="147"/>
      <c r="O184" s="141"/>
      <c r="P184" s="143"/>
      <c r="Q184" s="151"/>
      <c r="R184" s="154"/>
      <c r="S184" s="154"/>
    </row>
    <row r="185">
      <c r="A185" s="154"/>
      <c r="B185" s="154"/>
      <c r="C185" s="147"/>
      <c r="D185" s="153"/>
      <c r="E185" s="147"/>
      <c r="F185" s="141"/>
      <c r="G185" s="141"/>
      <c r="H185" s="151"/>
      <c r="I185" s="154"/>
      <c r="J185" s="154"/>
      <c r="K185" s="154"/>
      <c r="L185" s="147"/>
      <c r="M185" s="159"/>
      <c r="N185" s="147"/>
      <c r="O185" s="141"/>
      <c r="P185" s="143"/>
      <c r="Q185" s="151"/>
      <c r="R185" s="154"/>
      <c r="S185" s="154"/>
    </row>
    <row r="186">
      <c r="A186" s="154"/>
      <c r="B186" s="154"/>
      <c r="C186" s="147"/>
      <c r="D186" s="153"/>
      <c r="E186" s="147"/>
      <c r="F186" s="141"/>
      <c r="G186" s="141"/>
      <c r="H186" s="151"/>
      <c r="I186" s="154"/>
      <c r="J186" s="154"/>
      <c r="K186" s="154"/>
      <c r="L186" s="147"/>
      <c r="M186" s="159"/>
      <c r="N186" s="147"/>
      <c r="O186" s="141"/>
      <c r="P186" s="143"/>
      <c r="Q186" s="151"/>
      <c r="R186" s="154"/>
      <c r="S186" s="154"/>
    </row>
    <row r="187">
      <c r="A187" s="154"/>
      <c r="B187" s="154"/>
      <c r="C187" s="147"/>
      <c r="D187" s="153"/>
      <c r="E187" s="147"/>
      <c r="F187" s="141"/>
      <c r="G187" s="141"/>
      <c r="H187" s="151"/>
      <c r="I187" s="154"/>
      <c r="J187" s="154"/>
      <c r="K187" s="154"/>
      <c r="L187" s="147"/>
      <c r="M187" s="159"/>
      <c r="N187" s="147"/>
      <c r="O187" s="141"/>
      <c r="P187" s="143"/>
      <c r="Q187" s="151"/>
      <c r="R187" s="154"/>
      <c r="S187" s="154"/>
    </row>
    <row r="188">
      <c r="A188" s="154"/>
      <c r="B188" s="154"/>
      <c r="C188" s="147"/>
      <c r="D188" s="153"/>
      <c r="E188" s="147"/>
      <c r="F188" s="141"/>
      <c r="G188" s="141"/>
      <c r="H188" s="151"/>
      <c r="I188" s="154"/>
      <c r="J188" s="154"/>
      <c r="K188" s="154"/>
      <c r="L188" s="147"/>
      <c r="M188" s="159"/>
      <c r="N188" s="147"/>
      <c r="O188" s="141"/>
      <c r="P188" s="143"/>
      <c r="Q188" s="151"/>
      <c r="R188" s="154"/>
      <c r="S188" s="154"/>
    </row>
    <row r="189">
      <c r="A189" s="154"/>
      <c r="B189" s="154"/>
      <c r="C189" s="147"/>
      <c r="D189" s="153"/>
      <c r="E189" s="147"/>
      <c r="F189" s="141"/>
      <c r="G189" s="141"/>
      <c r="H189" s="151"/>
      <c r="I189" s="154"/>
      <c r="J189" s="154"/>
      <c r="K189" s="154"/>
      <c r="L189" s="147"/>
      <c r="M189" s="159"/>
      <c r="N189" s="147"/>
      <c r="O189" s="141"/>
      <c r="P189" s="143"/>
      <c r="Q189" s="151"/>
      <c r="R189" s="154"/>
      <c r="S189" s="154"/>
    </row>
    <row r="190">
      <c r="A190" s="154"/>
      <c r="B190" s="154"/>
      <c r="C190" s="147"/>
      <c r="D190" s="153"/>
      <c r="E190" s="147"/>
      <c r="F190" s="141"/>
      <c r="G190" s="141"/>
      <c r="H190" s="151"/>
      <c r="I190" s="154"/>
      <c r="J190" s="154"/>
      <c r="K190" s="154"/>
      <c r="L190" s="147"/>
      <c r="M190" s="159"/>
      <c r="N190" s="147"/>
      <c r="O190" s="141"/>
      <c r="P190" s="143"/>
      <c r="Q190" s="151"/>
      <c r="R190" s="154"/>
      <c r="S190" s="154"/>
    </row>
    <row r="191">
      <c r="A191" s="154"/>
      <c r="B191" s="154"/>
      <c r="C191" s="147"/>
      <c r="D191" s="153"/>
      <c r="E191" s="147"/>
      <c r="F191" s="141"/>
      <c r="G191" s="141"/>
      <c r="H191" s="151"/>
      <c r="I191" s="154"/>
      <c r="J191" s="154"/>
      <c r="K191" s="154"/>
      <c r="L191" s="147"/>
      <c r="M191" s="159"/>
      <c r="N191" s="147"/>
      <c r="O191" s="141"/>
      <c r="P191" s="143"/>
      <c r="Q191" s="151"/>
      <c r="R191" s="154"/>
      <c r="S191" s="154"/>
    </row>
    <row r="192">
      <c r="A192" s="154"/>
      <c r="B192" s="154"/>
      <c r="C192" s="147"/>
      <c r="D192" s="153"/>
      <c r="E192" s="147"/>
      <c r="F192" s="141"/>
      <c r="G192" s="141"/>
      <c r="H192" s="151"/>
      <c r="I192" s="154"/>
      <c r="J192" s="154"/>
      <c r="K192" s="154"/>
      <c r="L192" s="147"/>
      <c r="M192" s="159"/>
      <c r="N192" s="147"/>
      <c r="O192" s="141"/>
      <c r="P192" s="143"/>
      <c r="Q192" s="151"/>
      <c r="R192" s="154"/>
      <c r="S192" s="154"/>
    </row>
    <row r="193">
      <c r="A193" s="154"/>
      <c r="B193" s="154"/>
      <c r="C193" s="147"/>
      <c r="D193" s="153"/>
      <c r="E193" s="147"/>
      <c r="F193" s="141"/>
      <c r="G193" s="141"/>
      <c r="H193" s="151"/>
      <c r="I193" s="154"/>
      <c r="J193" s="154"/>
      <c r="K193" s="154"/>
      <c r="L193" s="147"/>
      <c r="M193" s="159"/>
      <c r="N193" s="147"/>
      <c r="O193" s="141"/>
      <c r="P193" s="143"/>
      <c r="Q193" s="151"/>
      <c r="R193" s="154"/>
      <c r="S193" s="154"/>
    </row>
    <row r="194">
      <c r="A194" s="154"/>
      <c r="B194" s="154"/>
      <c r="C194" s="147"/>
      <c r="D194" s="153"/>
      <c r="E194" s="147"/>
      <c r="F194" s="141"/>
      <c r="G194" s="141"/>
      <c r="H194" s="151"/>
      <c r="I194" s="154"/>
      <c r="J194" s="154"/>
      <c r="K194" s="154"/>
      <c r="L194" s="147"/>
      <c r="M194" s="159"/>
      <c r="N194" s="147"/>
      <c r="O194" s="141"/>
      <c r="P194" s="143"/>
      <c r="Q194" s="151"/>
      <c r="R194" s="154"/>
      <c r="S194" s="154"/>
    </row>
    <row r="195">
      <c r="A195" s="154"/>
      <c r="B195" s="154"/>
      <c r="C195" s="147"/>
      <c r="D195" s="153"/>
      <c r="E195" s="147"/>
      <c r="F195" s="141"/>
      <c r="G195" s="141"/>
      <c r="H195" s="151"/>
      <c r="I195" s="154"/>
      <c r="J195" s="154"/>
      <c r="K195" s="154"/>
      <c r="L195" s="147"/>
      <c r="M195" s="159"/>
      <c r="N195" s="147"/>
      <c r="O195" s="141"/>
      <c r="P195" s="143"/>
      <c r="Q195" s="151"/>
      <c r="R195" s="154"/>
      <c r="S195" s="154"/>
    </row>
    <row r="196">
      <c r="A196" s="154"/>
      <c r="B196" s="154"/>
      <c r="C196" s="147"/>
      <c r="D196" s="153"/>
      <c r="E196" s="147"/>
      <c r="F196" s="141"/>
      <c r="G196" s="141"/>
      <c r="H196" s="151"/>
      <c r="I196" s="154"/>
      <c r="J196" s="154"/>
      <c r="K196" s="154"/>
      <c r="L196" s="147"/>
      <c r="M196" s="159"/>
      <c r="N196" s="147"/>
      <c r="O196" s="141"/>
      <c r="P196" s="143"/>
      <c r="Q196" s="151"/>
      <c r="R196" s="154"/>
      <c r="S196" s="154"/>
    </row>
    <row r="197">
      <c r="A197" s="154"/>
      <c r="B197" s="154"/>
      <c r="C197" s="147"/>
      <c r="D197" s="153"/>
      <c r="E197" s="147"/>
      <c r="F197" s="141"/>
      <c r="G197" s="141"/>
      <c r="H197" s="151"/>
      <c r="I197" s="154"/>
      <c r="J197" s="154"/>
      <c r="K197" s="154"/>
      <c r="L197" s="147"/>
      <c r="M197" s="159"/>
      <c r="N197" s="147"/>
      <c r="O197" s="141"/>
      <c r="P197" s="143"/>
      <c r="Q197" s="151"/>
      <c r="R197" s="154"/>
      <c r="S197" s="154"/>
    </row>
    <row r="198">
      <c r="A198" s="154"/>
      <c r="B198" s="154"/>
      <c r="C198" s="147"/>
      <c r="D198" s="153"/>
      <c r="E198" s="147"/>
      <c r="F198" s="141"/>
      <c r="G198" s="141"/>
      <c r="H198" s="151"/>
      <c r="I198" s="154"/>
      <c r="J198" s="154"/>
      <c r="K198" s="154"/>
      <c r="L198" s="147"/>
      <c r="M198" s="159"/>
      <c r="N198" s="147"/>
      <c r="O198" s="141"/>
      <c r="P198" s="143"/>
      <c r="Q198" s="151"/>
      <c r="R198" s="154"/>
      <c r="S198" s="154"/>
    </row>
    <row r="199">
      <c r="A199" s="154"/>
      <c r="B199" s="154"/>
      <c r="C199" s="147"/>
      <c r="D199" s="153"/>
      <c r="E199" s="147"/>
      <c r="F199" s="141"/>
      <c r="G199" s="141"/>
      <c r="H199" s="151"/>
      <c r="I199" s="154"/>
      <c r="J199" s="154"/>
      <c r="K199" s="154"/>
      <c r="L199" s="147"/>
      <c r="M199" s="159"/>
      <c r="N199" s="147"/>
      <c r="O199" s="141"/>
      <c r="P199" s="143"/>
      <c r="Q199" s="151"/>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row r="591">
      <c r="A591" s="154"/>
      <c r="B591" s="154"/>
      <c r="C591" s="155"/>
      <c r="D591" s="156"/>
      <c r="E591" s="155"/>
      <c r="F591" s="155"/>
      <c r="G591" s="155"/>
      <c r="H591" s="157"/>
      <c r="I591" s="154"/>
      <c r="J591" s="154"/>
      <c r="K591" s="154"/>
      <c r="L591" s="155"/>
      <c r="M591" s="156"/>
      <c r="N591" s="155"/>
      <c r="O591" s="155"/>
      <c r="P591" s="155"/>
      <c r="Q591" s="157"/>
      <c r="R591" s="154"/>
      <c r="S591" s="154"/>
    </row>
    <row r="592">
      <c r="A592" s="154"/>
      <c r="B592" s="154"/>
      <c r="C592" s="155"/>
      <c r="D592" s="156"/>
      <c r="E592" s="155"/>
      <c r="F592" s="155"/>
      <c r="G592" s="155"/>
      <c r="H592" s="157"/>
      <c r="I592" s="154"/>
      <c r="J592" s="154"/>
      <c r="K592" s="154"/>
      <c r="L592" s="155"/>
      <c r="M592" s="156"/>
      <c r="N592" s="155"/>
      <c r="O592" s="155"/>
      <c r="P592" s="155"/>
      <c r="Q592" s="157"/>
      <c r="R592" s="154"/>
      <c r="S592" s="154"/>
    </row>
  </sheetData>
  <mergeCells count="6">
    <mergeCell ref="C1:H1"/>
    <mergeCell ref="L1:Q1"/>
    <mergeCell ref="C2:H2"/>
    <mergeCell ref="L2:Q2"/>
    <mergeCell ref="C3:H3"/>
    <mergeCell ref="L3:Q3"/>
  </mergeCells>
  <dataValidations>
    <dataValidation type="list" allowBlank="1" showErrorMessage="1" sqref="A1:C1 I1:L1 R1:S1">
      <formula1>'All Competencies'!$A$3:$A592</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Q9"/>
    <hyperlink r:id="rId21" ref="D10"/>
    <hyperlink r:id="rId22" ref="H10"/>
    <hyperlink r:id="rId23" ref="M10"/>
    <hyperlink r:id="rId24" ref="Q10"/>
    <hyperlink r:id="rId25" ref="D11"/>
    <hyperlink r:id="rId26" ref="H11"/>
    <hyperlink r:id="rId27" ref="M11"/>
    <hyperlink r:id="rId28" ref="Q11"/>
    <hyperlink r:id="rId29" ref="D12"/>
    <hyperlink r:id="rId30" ref="H12"/>
    <hyperlink r:id="rId31" ref="M12"/>
    <hyperlink r:id="rId32" ref="Q12"/>
    <hyperlink r:id="rId33" ref="D13"/>
    <hyperlink r:id="rId34" ref="H13"/>
    <hyperlink r:id="rId35" ref="M13"/>
    <hyperlink r:id="rId36" ref="Q13"/>
    <hyperlink r:id="rId37" ref="D14"/>
    <hyperlink r:id="rId38" ref="H14"/>
    <hyperlink r:id="rId39" ref="M14"/>
    <hyperlink r:id="rId40" ref="D15"/>
    <hyperlink r:id="rId41" ref="H15"/>
    <hyperlink r:id="rId42" ref="M15"/>
    <hyperlink r:id="rId43" ref="D16"/>
    <hyperlink r:id="rId44" ref="H16"/>
    <hyperlink r:id="rId45" ref="M16"/>
    <hyperlink r:id="rId46" ref="D17"/>
    <hyperlink r:id="rId47" ref="H17"/>
    <hyperlink r:id="rId48" ref="M17"/>
    <hyperlink r:id="rId49" ref="D18"/>
    <hyperlink r:id="rId50" ref="H18"/>
    <hyperlink r:id="rId51" ref="M18"/>
    <hyperlink r:id="rId52" ref="D19"/>
    <hyperlink r:id="rId53" ref="H19"/>
    <hyperlink r:id="rId54" ref="M19"/>
    <hyperlink r:id="rId55" ref="D20"/>
    <hyperlink r:id="rId56" ref="H20"/>
    <hyperlink r:id="rId57" ref="M20"/>
    <hyperlink r:id="rId58" ref="D21"/>
    <hyperlink r:id="rId59" location="gid=226809603?trk=ondemandfile" ref="H21"/>
    <hyperlink r:id="rId60" ref="M21"/>
    <hyperlink r:id="rId61" ref="D22"/>
    <hyperlink r:id="rId62" ref="H22"/>
    <hyperlink r:id="rId63" ref="M22"/>
    <hyperlink r:id="rId64" ref="D23"/>
    <hyperlink r:id="rId65" ref="H23"/>
    <hyperlink r:id="rId66" ref="M23"/>
    <hyperlink r:id="rId67" ref="D24"/>
    <hyperlink r:id="rId68" ref="H24"/>
    <hyperlink r:id="rId69" ref="M24"/>
    <hyperlink r:id="rId70" ref="D25"/>
    <hyperlink r:id="rId71" ref="H25"/>
    <hyperlink r:id="rId72" ref="M25"/>
    <hyperlink r:id="rId73" ref="D26"/>
    <hyperlink r:id="rId74" ref="H26"/>
    <hyperlink r:id="rId75" ref="M26"/>
    <hyperlink r:id="rId76" ref="D27"/>
    <hyperlink r:id="rId77" ref="M27"/>
    <hyperlink r:id="rId78" ref="D28"/>
    <hyperlink r:id="rId79" ref="M28"/>
    <hyperlink r:id="rId80" ref="D29"/>
    <hyperlink r:id="rId81" ref="M29"/>
    <hyperlink r:id="rId82" ref="D30"/>
    <hyperlink r:id="rId83" ref="M30"/>
    <hyperlink r:id="rId84" ref="D31"/>
    <hyperlink r:id="rId85" ref="M31"/>
    <hyperlink r:id="rId86" ref="D32"/>
    <hyperlink r:id="rId87" ref="M32"/>
    <hyperlink r:id="rId88" ref="D33"/>
    <hyperlink r:id="rId89" ref="M33"/>
    <hyperlink r:id="rId90" ref="D34"/>
    <hyperlink r:id="rId91" ref="M34"/>
    <hyperlink r:id="rId92" ref="D35"/>
    <hyperlink r:id="rId93" ref="M35"/>
    <hyperlink r:id="rId94" ref="D36"/>
    <hyperlink r:id="rId95" ref="M36"/>
    <hyperlink r:id="rId96" ref="D37"/>
    <hyperlink r:id="rId97" ref="M37"/>
    <hyperlink r:id="rId98" ref="D38"/>
    <hyperlink r:id="rId99" ref="M38"/>
    <hyperlink r:id="rId100" ref="D39"/>
    <hyperlink r:id="rId101" ref="M39"/>
    <hyperlink r:id="rId102" ref="D40"/>
    <hyperlink r:id="rId103" ref="M40"/>
    <hyperlink r:id="rId104" ref="D41"/>
    <hyperlink r:id="rId105" ref="M41"/>
    <hyperlink r:id="rId106" ref="D42"/>
    <hyperlink r:id="rId107" ref="M42"/>
    <hyperlink r:id="rId108" ref="D43"/>
    <hyperlink r:id="rId109" ref="M43"/>
    <hyperlink r:id="rId110" ref="D44"/>
    <hyperlink r:id="rId111" ref="M44"/>
    <hyperlink r:id="rId112" ref="D45"/>
    <hyperlink r:id="rId113" ref="M45"/>
    <hyperlink r:id="rId114" ref="D46"/>
    <hyperlink r:id="rId115" ref="M46"/>
    <hyperlink r:id="rId116" ref="D47"/>
    <hyperlink r:id="rId117" ref="M47"/>
    <hyperlink r:id="rId118" ref="D48"/>
    <hyperlink r:id="rId119" ref="M48"/>
    <hyperlink r:id="rId120" ref="D49"/>
    <hyperlink r:id="rId121" ref="M49"/>
    <hyperlink r:id="rId122" ref="D50"/>
    <hyperlink r:id="rId123" ref="M50"/>
    <hyperlink r:id="rId124" ref="D51"/>
    <hyperlink r:id="rId125" ref="M51"/>
    <hyperlink r:id="rId126" ref="D52"/>
    <hyperlink r:id="rId127" ref="M52"/>
    <hyperlink r:id="rId128" ref="D53"/>
    <hyperlink r:id="rId129" ref="M53"/>
    <hyperlink r:id="rId130" ref="D54"/>
    <hyperlink r:id="rId131" ref="M54"/>
    <hyperlink r:id="rId132" ref="D55"/>
    <hyperlink r:id="rId133" ref="M55"/>
    <hyperlink r:id="rId134" ref="D56"/>
    <hyperlink r:id="rId135" ref="M56"/>
    <hyperlink r:id="rId136" ref="D57"/>
    <hyperlink r:id="rId137" ref="M57"/>
    <hyperlink r:id="rId138" ref="D58"/>
    <hyperlink r:id="rId139" ref="M58"/>
    <hyperlink r:id="rId140" ref="D59"/>
    <hyperlink r:id="rId141" ref="M59"/>
    <hyperlink r:id="rId142" ref="D60"/>
    <hyperlink r:id="rId143" ref="M60"/>
    <hyperlink r:id="rId144" ref="D61"/>
    <hyperlink r:id="rId145" ref="M61"/>
    <hyperlink r:id="rId146" ref="D62"/>
    <hyperlink r:id="rId147" ref="M62"/>
    <hyperlink r:id="rId148" ref="D63"/>
    <hyperlink r:id="rId149" ref="M63"/>
    <hyperlink r:id="rId150" ref="D64"/>
    <hyperlink r:id="rId151" ref="M64"/>
    <hyperlink r:id="rId152" ref="D65"/>
    <hyperlink r:id="rId153" ref="M65"/>
    <hyperlink r:id="rId154" ref="D66"/>
    <hyperlink r:id="rId155" ref="M66"/>
    <hyperlink r:id="rId156" ref="D67"/>
    <hyperlink r:id="rId157" ref="M67"/>
    <hyperlink r:id="rId158" ref="D68"/>
    <hyperlink r:id="rId159" ref="M68"/>
    <hyperlink r:id="rId160" ref="D69"/>
    <hyperlink r:id="rId161" ref="M69"/>
    <hyperlink r:id="rId162" ref="D70"/>
    <hyperlink r:id="rId163" ref="M70"/>
    <hyperlink r:id="rId164" ref="D71"/>
    <hyperlink r:id="rId165" ref="M71"/>
    <hyperlink r:id="rId166" ref="D72"/>
    <hyperlink r:id="rId167" ref="M72"/>
    <hyperlink r:id="rId168" ref="D73"/>
    <hyperlink r:id="rId169" ref="M73"/>
    <hyperlink r:id="rId170" ref="D74"/>
    <hyperlink r:id="rId171" ref="M74"/>
    <hyperlink r:id="rId172" ref="D75"/>
    <hyperlink r:id="rId173" ref="M75"/>
    <hyperlink r:id="rId174" ref="D76"/>
    <hyperlink r:id="rId175" ref="M76"/>
    <hyperlink r:id="rId176" ref="D77"/>
    <hyperlink r:id="rId177" ref="M77"/>
    <hyperlink r:id="rId178" ref="D78"/>
    <hyperlink r:id="rId179" ref="M78"/>
    <hyperlink r:id="rId180" ref="D79"/>
    <hyperlink r:id="rId181" ref="M79"/>
    <hyperlink r:id="rId182" ref="D80"/>
    <hyperlink r:id="rId183" ref="M80"/>
    <hyperlink r:id="rId184" ref="D81"/>
    <hyperlink r:id="rId185" ref="M81"/>
    <hyperlink r:id="rId186" ref="D82"/>
    <hyperlink r:id="rId187" ref="M82"/>
    <hyperlink r:id="rId188" ref="D83"/>
    <hyperlink r:id="rId189" ref="M83"/>
    <hyperlink r:id="rId190" ref="D84"/>
    <hyperlink r:id="rId191" ref="M84"/>
    <hyperlink r:id="rId192" ref="D85"/>
    <hyperlink r:id="rId193" ref="M85"/>
    <hyperlink r:id="rId194" ref="D86"/>
    <hyperlink r:id="rId195" ref="M86"/>
    <hyperlink r:id="rId196" ref="D87"/>
    <hyperlink r:id="rId197" ref="M87"/>
    <hyperlink r:id="rId198" ref="D88"/>
    <hyperlink r:id="rId199" ref="M88"/>
    <hyperlink r:id="rId200" ref="D89"/>
    <hyperlink r:id="rId201" ref="M89"/>
    <hyperlink r:id="rId202" ref="D90"/>
    <hyperlink r:id="rId203" ref="M90"/>
    <hyperlink r:id="rId204" ref="D91"/>
    <hyperlink r:id="rId205" ref="M91"/>
    <hyperlink r:id="rId206" ref="D92"/>
    <hyperlink r:id="rId207" ref="M92"/>
    <hyperlink r:id="rId208" ref="D93"/>
    <hyperlink r:id="rId209" ref="M93"/>
    <hyperlink r:id="rId210" ref="D94"/>
    <hyperlink r:id="rId211" ref="M94"/>
    <hyperlink r:id="rId212" ref="D95"/>
    <hyperlink r:id="rId213" ref="M95"/>
    <hyperlink r:id="rId214" ref="D96"/>
    <hyperlink r:id="rId215" ref="M96"/>
    <hyperlink r:id="rId216" ref="M97"/>
    <hyperlink r:id="rId217" ref="M98"/>
    <hyperlink r:id="rId218" ref="M99"/>
    <hyperlink r:id="rId219" ref="M100"/>
    <hyperlink r:id="rId220" ref="M101"/>
    <hyperlink r:id="rId221" ref="M102"/>
    <hyperlink r:id="rId222" ref="M103"/>
    <hyperlink r:id="rId223" ref="M104"/>
    <hyperlink r:id="rId224" ref="M105"/>
  </hyperlinks>
  <drawing r:id="rId225"/>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18.88"/>
    <col customWidth="1" min="6" max="6" width="22.38"/>
    <col customWidth="1" min="7" max="7" width="11.38"/>
    <col customWidth="1" min="8" max="8" width="43.88"/>
    <col customWidth="1" min="9" max="11" width="0.63"/>
    <col customWidth="1" min="12" max="12" width="11.88"/>
    <col customWidth="1" min="13" max="13" width="48.0"/>
    <col customWidth="1" min="14" max="14" width="20.13"/>
    <col customWidth="1" min="15" max="15" width="22.38"/>
    <col customWidth="1" min="16" max="16" width="11.38"/>
    <col customWidth="1" min="17" max="17" width="43.88"/>
    <col customWidth="1" min="18" max="19" width="0.63"/>
  </cols>
  <sheetData>
    <row r="1" ht="27.75" customHeight="1" outlineLevel="1">
      <c r="A1" s="130"/>
      <c r="B1" s="130"/>
      <c r="C1" s="131" t="s">
        <v>1671</v>
      </c>
      <c r="I1" s="130"/>
      <c r="J1" s="130"/>
      <c r="K1" s="130"/>
      <c r="L1" s="131" t="s">
        <v>1712</v>
      </c>
      <c r="R1" s="130"/>
      <c r="S1" s="130"/>
    </row>
    <row r="2" outlineLevel="1">
      <c r="A2" s="132"/>
      <c r="B2" s="132"/>
      <c r="C2" s="133" t="s">
        <v>1986</v>
      </c>
      <c r="I2" s="132"/>
      <c r="J2" s="132"/>
      <c r="K2" s="132"/>
      <c r="L2" s="133" t="s">
        <v>1986</v>
      </c>
      <c r="R2" s="132"/>
      <c r="S2" s="132"/>
    </row>
    <row r="3" outlineLevel="1">
      <c r="A3" s="134"/>
      <c r="B3" s="134"/>
      <c r="C3" s="135" t="str">
        <f>IFERROR(__xludf.DUMMYFUNCTION("IFERROR(UNIQUE(FILTER('Competency Learning Paths'!N:N,'Competency Learning Paths'!A:A= C1)))"),"Strategic Decision-Making, Establishing Strategic Direction, Strategic Decision Making, Planning, Perspective, Strategic Agility, Strategic Mindset")</f>
        <v>Strategic Decision-Making, Establishing Strategic Direction, Strategic Decision Making, Planning, Perspective, Strategic Agility, Strategic Mindset</v>
      </c>
      <c r="I3" s="134"/>
      <c r="J3" s="134"/>
      <c r="K3" s="134"/>
      <c r="L3" s="135" t="str">
        <f>IFERROR(__xludf.DUMMYFUNCTION("IFERROR(UNIQUE(FILTER('Competency Learning Paths'!N:N,'Competency Learning Paths'!A:A= L1)))"),"Develops Talent, Developing Direct Reports, Coaching, Developing Direct Reports and Others, Developing Others")</f>
        <v>Develops Talent, Developing Direct Reports, Coaching, Developing Direct Reports and Others, Developing Others</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IFERROR(__xludf.DUMMYFUNCTION("""COMPUTED_VALUE"""),689761.0)</f>
        <v>689761</v>
      </c>
      <c r="D5" s="142" t="str">
        <f>IFERROR(__xludf.DUMMYFUNCTION("""COMPUTED_VALUE"""),"Creating a Culture of Change")</f>
        <v>Creating a Culture of Change</v>
      </c>
      <c r="E5" s="141" t="str">
        <f>IFERROR(__xludf.DUMMYFUNCTION("""COMPUTED_VALUE"""),"C-Suite")</f>
        <v>C-Suite</v>
      </c>
      <c r="F5" s="141" t="str">
        <f>IFERROR(__xludf.DUMMYFUNCTION("""COMPUTED_VALUE"""),"Advanced")</f>
        <v>Advanced</v>
      </c>
      <c r="G5" s="143">
        <f>IFERROR(__xludf.DUMMYFUNCTION("""COMPUTED_VALUE"""),0.03929398148148148)</f>
        <v>0.03929398148</v>
      </c>
      <c r="H5" s="144" t="str">
        <f>IFERROR(__xludf.DUMMYFUNCTION("""COMPUTED_VALUE"""),"Applying Lean, DevOps, and Agile to Your IT Organization")</f>
        <v>Applying Lean, DevOps, and Agile to Your IT Organization</v>
      </c>
      <c r="I5" s="140"/>
      <c r="J5" s="140"/>
      <c r="K5" s="140"/>
      <c r="L5" s="141">
        <f>IFERROR(__xludf.DUMMYFUNCTION("""COMPUTED_VALUE"""),3022076.0)</f>
        <v>3022076</v>
      </c>
      <c r="M5" s="145" t="str">
        <f>IFERROR(__xludf.DUMMYFUNCTION("""COMPUTED_VALUE"""),"The Future of Work: The Necessary Skills of Your Future Workforce")</f>
        <v>The Future of Work: The Necessary Skills of Your Future Workforce</v>
      </c>
      <c r="N5" s="141" t="str">
        <f>IFERROR(__xludf.DUMMYFUNCTION("""COMPUTED_VALUE"""),"C-Suite")</f>
        <v>C-Suite</v>
      </c>
      <c r="O5" s="141" t="str">
        <f>IFERROR(__xludf.DUMMYFUNCTION("""COMPUTED_VALUE"""),"Advanced")</f>
        <v>Advanced</v>
      </c>
      <c r="P5" s="146">
        <f>IFERROR(__xludf.DUMMYFUNCTION("""COMPUTED_VALUE"""),0.036377314814814814)</f>
        <v>0.03637731481</v>
      </c>
      <c r="Q5" s="144" t="str">
        <f>IFERROR(__xludf.DUMMYFUNCTION("""COMPUTED_VALUE"""),"Advance Your Skills as a Manager")</f>
        <v>Advance Your Skills as a Manager</v>
      </c>
      <c r="R5" s="140"/>
      <c r="S5" s="140"/>
    </row>
    <row r="6">
      <c r="A6" s="140"/>
      <c r="B6" s="140"/>
      <c r="C6" s="147">
        <f>IFERROR(__xludf.DUMMYFUNCTION("""COMPUTED_VALUE"""),592487.0)</f>
        <v>592487</v>
      </c>
      <c r="D6" s="148" t="str">
        <f>IFERROR(__xludf.DUMMYFUNCTION("""COMPUTED_VALUE"""),"Creating a Culture of Strategy Execution")</f>
        <v>Creating a Culture of Strategy Execution</v>
      </c>
      <c r="E6" s="147" t="str">
        <f>IFERROR(__xludf.DUMMYFUNCTION("""COMPUTED_VALUE"""),"C-Suite")</f>
        <v>C-Suite</v>
      </c>
      <c r="F6" s="141" t="str">
        <f>IFERROR(__xludf.DUMMYFUNCTION("""COMPUTED_VALUE"""),"Advanced")</f>
        <v>Advanced</v>
      </c>
      <c r="G6" s="143">
        <f>IFERROR(__xludf.DUMMYFUNCTION("""COMPUTED_VALUE"""),0.033125)</f>
        <v>0.033125</v>
      </c>
      <c r="H6" s="149" t="str">
        <f>IFERROR(__xludf.DUMMYFUNCTION("""COMPUTED_VALUE"""),"Become a Business Analyst")</f>
        <v>Become a Business Analyst</v>
      </c>
      <c r="I6" s="140"/>
      <c r="J6" s="140"/>
      <c r="K6" s="140"/>
      <c r="L6" s="147">
        <f>IFERROR(__xludf.DUMMYFUNCTION("""COMPUTED_VALUE"""),5015872.0)</f>
        <v>5015872</v>
      </c>
      <c r="M6" s="150" t="str">
        <f>IFERROR(__xludf.DUMMYFUNCTION("""COMPUTED_VALUE"""),"Built to Last: Successful Habits of Visionary Companies (Blinkist Summary)")</f>
        <v>Built to Last: Successful Habits of Visionary Companies (Blinkist Summary)</v>
      </c>
      <c r="N6" s="147" t="str">
        <f>IFERROR(__xludf.DUMMYFUNCTION("""COMPUTED_VALUE"""),"C-Suite")</f>
        <v>C-Suite</v>
      </c>
      <c r="O6" s="141" t="str">
        <f>IFERROR(__xludf.DUMMYFUNCTION("""COMPUTED_VALUE"""),"Intermediate")</f>
        <v>Intermediate</v>
      </c>
      <c r="P6" s="146">
        <f>IFERROR(__xludf.DUMMYFUNCTION("""COMPUTED_VALUE"""),0.012939814814814815)</f>
        <v>0.01293981481</v>
      </c>
      <c r="Q6" s="149" t="str">
        <f>IFERROR(__xludf.DUMMYFUNCTION("""COMPUTED_VALUE"""),"Become an Administrative Professional")</f>
        <v>Become an Administrative Professional</v>
      </c>
      <c r="R6" s="140"/>
      <c r="S6" s="140"/>
    </row>
    <row r="7">
      <c r="A7" s="140"/>
      <c r="B7" s="140"/>
      <c r="C7" s="147">
        <f>IFERROR(__xludf.DUMMYFUNCTION("""COMPUTED_VALUE"""),373562.0)</f>
        <v>373562</v>
      </c>
      <c r="D7" s="148" t="str">
        <f>IFERROR(__xludf.DUMMYFUNCTION("""COMPUTED_VALUE"""),"Global Strategy")</f>
        <v>Global Strategy</v>
      </c>
      <c r="E7" s="147" t="str">
        <f>IFERROR(__xludf.DUMMYFUNCTION("""COMPUTED_VALUE"""),"C-Suite")</f>
        <v>C-Suite</v>
      </c>
      <c r="F7" s="141" t="str">
        <f>IFERROR(__xludf.DUMMYFUNCTION("""COMPUTED_VALUE"""),"Advanced")</f>
        <v>Advanced</v>
      </c>
      <c r="G7" s="143">
        <f>IFERROR(__xludf.DUMMYFUNCTION("""COMPUTED_VALUE"""),0.04857638888888889)</f>
        <v>0.04857638889</v>
      </c>
      <c r="H7" s="149" t="str">
        <f>IFERROR(__xludf.DUMMYFUNCTION("""COMPUTED_VALUE"""),"Become a Business Operations Associate")</f>
        <v>Become a Business Operations Associate</v>
      </c>
      <c r="I7" s="140"/>
      <c r="J7" s="140"/>
      <c r="K7" s="140"/>
      <c r="L7" s="147">
        <f>IFERROR(__xludf.DUMMYFUNCTION("""COMPUTED_VALUE"""),5015886.0)</f>
        <v>5015886</v>
      </c>
      <c r="M7" s="150" t="str">
        <f>IFERROR(__xludf.DUMMYFUNCTION("""COMPUTED_VALUE"""),"Good to Great: Why Some Companies Make the Leap and Others Don't (Blinkist Summary)")</f>
        <v>Good to Great: Why Some Companies Make the Leap and Others Don't (Blinkist Summary)</v>
      </c>
      <c r="N7" s="147" t="str">
        <f>IFERROR(__xludf.DUMMYFUNCTION("""COMPUTED_VALUE"""),"C-Suite")</f>
        <v>C-Suite</v>
      </c>
      <c r="O7" s="141" t="str">
        <f>IFERROR(__xludf.DUMMYFUNCTION("""COMPUTED_VALUE"""),"Intermediate")</f>
        <v>Intermediate</v>
      </c>
      <c r="P7" s="146">
        <f>IFERROR(__xludf.DUMMYFUNCTION("""COMPUTED_VALUE"""),0.010231481481481482)</f>
        <v>0.01023148148</v>
      </c>
      <c r="Q7" s="149" t="str">
        <f>IFERROR(__xludf.DUMMYFUNCTION("""COMPUTED_VALUE"""),"Become an L&amp;D Professional")</f>
        <v>Become an L&amp;D Professional</v>
      </c>
      <c r="R7" s="140"/>
      <c r="S7" s="140"/>
    </row>
    <row r="8">
      <c r="A8" s="140"/>
      <c r="B8" s="140"/>
      <c r="C8" s="147">
        <f>IFERROR(__xludf.DUMMYFUNCTION("""COMPUTED_VALUE"""),2817142.0)</f>
        <v>2817142</v>
      </c>
      <c r="D8" s="148" t="str">
        <f>IFERROR(__xludf.DUMMYFUNCTION("""COMPUTED_VALUE"""),"Digital Strategy")</f>
        <v>Digital Strategy</v>
      </c>
      <c r="E8" s="147" t="str">
        <f>IFERROR(__xludf.DUMMYFUNCTION("""COMPUTED_VALUE"""),"C-Suite")</f>
        <v>C-Suite</v>
      </c>
      <c r="F8" s="141" t="str">
        <f>IFERROR(__xludf.DUMMYFUNCTION("""COMPUTED_VALUE"""),"Advanced")</f>
        <v>Advanced</v>
      </c>
      <c r="G8" s="143">
        <f>IFERROR(__xludf.DUMMYFUNCTION("""COMPUTED_VALUE"""),0.047824074074074074)</f>
        <v>0.04782407407</v>
      </c>
      <c r="H8" s="149" t="str">
        <f>IFERROR(__xludf.DUMMYFUNCTION("""COMPUTED_VALUE"""),"Become a Business Unit Manager")</f>
        <v>Become a Business Unit Manager</v>
      </c>
      <c r="I8" s="140"/>
      <c r="J8" s="140"/>
      <c r="K8" s="140"/>
      <c r="L8" s="147">
        <f>IFERROR(__xludf.DUMMYFUNCTION("""COMPUTED_VALUE"""),688515.0)</f>
        <v>688515</v>
      </c>
      <c r="M8" s="150" t="str">
        <f>IFERROR(__xludf.DUMMYFUNCTION("""COMPUTED_VALUE"""),"Succession Planning")</f>
        <v>Succession Planning</v>
      </c>
      <c r="N8" s="147" t="str">
        <f>IFERROR(__xludf.DUMMYFUNCTION("""COMPUTED_VALUE"""),"C-Suite")</f>
        <v>C-Suite</v>
      </c>
      <c r="O8" s="141" t="str">
        <f>IFERROR(__xludf.DUMMYFUNCTION("""COMPUTED_VALUE"""),"Advanced")</f>
        <v>Advanced</v>
      </c>
      <c r="P8" s="146">
        <f>IFERROR(__xludf.DUMMYFUNCTION("""COMPUTED_VALUE"""),0.03480324074074074)</f>
        <v>0.03480324074</v>
      </c>
      <c r="Q8" s="149" t="str">
        <f>IFERROR(__xludf.DUMMYFUNCTION("""COMPUTED_VALUE"""),"Become a Senior Manager")</f>
        <v>Become a Senior Manager</v>
      </c>
      <c r="R8" s="140"/>
      <c r="S8" s="140"/>
    </row>
    <row r="9" ht="33.75" customHeight="1">
      <c r="A9" s="140"/>
      <c r="B9" s="140"/>
      <c r="C9" s="147">
        <f>IFERROR(__xludf.DUMMYFUNCTION("""COMPUTED_VALUE"""),418270.0)</f>
        <v>418270</v>
      </c>
      <c r="D9" s="148" t="str">
        <f>IFERROR(__xludf.DUMMYFUNCTION("""COMPUTED_VALUE"""),"Creating Your IT Strategy")</f>
        <v>Creating Your IT Strategy</v>
      </c>
      <c r="E9" s="147" t="str">
        <f>IFERROR(__xludf.DUMMYFUNCTION("""COMPUTED_VALUE"""),"C-Suite")</f>
        <v>C-Suite</v>
      </c>
      <c r="F9" s="141" t="str">
        <f>IFERROR(__xludf.DUMMYFUNCTION("""COMPUTED_VALUE"""),"Advanced")</f>
        <v>Advanced</v>
      </c>
      <c r="G9" s="143">
        <f>IFERROR(__xludf.DUMMYFUNCTION("""COMPUTED_VALUE"""),0.03184027777777778)</f>
        <v>0.03184027778</v>
      </c>
      <c r="H9" s="149" t="str">
        <f>IFERROR(__xludf.DUMMYFUNCTION("""COMPUTED_VALUE"""),"Become a Corporate Financial Planning Analyst")</f>
        <v>Become a Corporate Financial Planning Analyst</v>
      </c>
      <c r="I9" s="140"/>
      <c r="J9" s="140"/>
      <c r="K9" s="140"/>
      <c r="L9" s="147">
        <f>IFERROR(__xludf.DUMMYFUNCTION("""COMPUTED_VALUE"""),570964.0)</f>
        <v>570964</v>
      </c>
      <c r="M9" s="148" t="str">
        <f>IFERROR(__xludf.DUMMYFUNCTION("""COMPUTED_VALUE"""),"Employee Engagement")</f>
        <v>Employee Engagement</v>
      </c>
      <c r="N9" s="147" t="str">
        <f>IFERROR(__xludf.DUMMYFUNCTION("""COMPUTED_VALUE"""),"Senior Manager")</f>
        <v>Senior Manager</v>
      </c>
      <c r="O9" s="141" t="str">
        <f>IFERROR(__xludf.DUMMYFUNCTION("""COMPUTED_VALUE"""),"Advanced")</f>
        <v>Advanced</v>
      </c>
      <c r="P9" s="143">
        <f>IFERROR(__xludf.DUMMYFUNCTION("""COMPUTED_VALUE"""),0.05741898148148148)</f>
        <v>0.05741898148</v>
      </c>
      <c r="Q9" s="149" t="str">
        <f>IFERROR(__xludf.DUMMYFUNCTION("""COMPUTED_VALUE"""),"Develop, Motivate, and Retain Employees ")</f>
        <v>Develop, Motivate, and Retain Employees </v>
      </c>
      <c r="R9" s="140"/>
      <c r="S9" s="140"/>
    </row>
    <row r="10" ht="33.75" customHeight="1">
      <c r="A10" s="140"/>
      <c r="B10" s="140"/>
      <c r="C10" s="147">
        <f>IFERROR(__xludf.DUMMYFUNCTION("""COMPUTED_VALUE"""),598478.0)</f>
        <v>598478</v>
      </c>
      <c r="D10" s="148" t="str">
        <f>IFERROR(__xludf.DUMMYFUNCTION("""COMPUTED_VALUE"""),"Implementing Your IT Strategy")</f>
        <v>Implementing Your IT Strategy</v>
      </c>
      <c r="E10" s="147" t="str">
        <f>IFERROR(__xludf.DUMMYFUNCTION("""COMPUTED_VALUE"""),"C-Suite")</f>
        <v>C-Suite</v>
      </c>
      <c r="F10" s="141" t="str">
        <f>IFERROR(__xludf.DUMMYFUNCTION("""COMPUTED_VALUE"""),"Advanced")</f>
        <v>Advanced</v>
      </c>
      <c r="G10" s="143">
        <f>IFERROR(__xludf.DUMMYFUNCTION("""COMPUTED_VALUE"""),0.027939814814814813)</f>
        <v>0.02793981481</v>
      </c>
      <c r="H10" s="158" t="str">
        <f>IFERROR(__xludf.DUMMYFUNCTION("""COMPUTED_VALUE"""),"Become a Content Strategist")</f>
        <v>Become a Content Strategist</v>
      </c>
      <c r="I10" s="140"/>
      <c r="J10" s="140"/>
      <c r="K10" s="140"/>
      <c r="L10" s="147">
        <f>IFERROR(__xludf.DUMMYFUNCTION("""COMPUTED_VALUE"""),624208.0)</f>
        <v>624208</v>
      </c>
      <c r="M10" s="148" t="str">
        <f>IFERROR(__xludf.DUMMYFUNCTION("""COMPUTED_VALUE"""),"Creating a Positive and Healthy Work Environment")</f>
        <v>Creating a Positive and Healthy Work Environment</v>
      </c>
      <c r="N10" s="147" t="str">
        <f>IFERROR(__xludf.DUMMYFUNCTION("""COMPUTED_VALUE"""),"Senior Manager")</f>
        <v>Senior Manager</v>
      </c>
      <c r="O10" s="141" t="str">
        <f>IFERROR(__xludf.DUMMYFUNCTION("""COMPUTED_VALUE"""),"Advanced")</f>
        <v>Advanced</v>
      </c>
      <c r="P10" s="143">
        <f>IFERROR(__xludf.DUMMYFUNCTION("""COMPUTED_VALUE"""),0.039907407407407405)</f>
        <v>0.03990740741</v>
      </c>
      <c r="Q10" s="158" t="str">
        <f>IFERROR(__xludf.DUMMYFUNCTION("""COMPUTED_VALUE"""),"Diversity, Inclusion and Belonging for Leaders and Managers")</f>
        <v>Diversity, Inclusion and Belonging for Leaders and Managers</v>
      </c>
      <c r="R10" s="140"/>
      <c r="S10" s="140"/>
    </row>
    <row r="11" ht="33.75" customHeight="1">
      <c r="A11" s="140"/>
      <c r="B11" s="140"/>
      <c r="C11" s="147">
        <f>IFERROR(__xludf.DUMMYFUNCTION("""COMPUTED_VALUE"""),667354.0)</f>
        <v>667354</v>
      </c>
      <c r="D11" s="148" t="str">
        <f>IFERROR(__xludf.DUMMYFUNCTION("""COMPUTED_VALUE"""),"Digital Transformation")</f>
        <v>Digital Transformation</v>
      </c>
      <c r="E11" s="147" t="str">
        <f>IFERROR(__xludf.DUMMYFUNCTION("""COMPUTED_VALUE"""),"C-Suite")</f>
        <v>C-Suite</v>
      </c>
      <c r="F11" s="141" t="str">
        <f>IFERROR(__xludf.DUMMYFUNCTION("""COMPUTED_VALUE"""),"Advanced")</f>
        <v>Advanced</v>
      </c>
      <c r="G11" s="143">
        <f>IFERROR(__xludf.DUMMYFUNCTION("""COMPUTED_VALUE"""),0.032962962962962965)</f>
        <v>0.03296296296</v>
      </c>
      <c r="H11" s="149" t="str">
        <f>IFERROR(__xludf.DUMMYFUNCTION("""COMPUTED_VALUE"""),"Build Essential Data Skills")</f>
        <v>Build Essential Data Skills</v>
      </c>
      <c r="I11" s="140"/>
      <c r="J11" s="140"/>
      <c r="K11" s="140"/>
      <c r="L11" s="147">
        <f>IFERROR(__xludf.DUMMYFUNCTION("""COMPUTED_VALUE"""),536419.0)</f>
        <v>536419</v>
      </c>
      <c r="M11" s="148" t="str">
        <f>IFERROR(__xludf.DUMMYFUNCTION("""COMPUTED_VALUE"""),"Talent Management")</f>
        <v>Talent Management</v>
      </c>
      <c r="N11" s="147" t="str">
        <f>IFERROR(__xludf.DUMMYFUNCTION("""COMPUTED_VALUE"""),"Senior Manager")</f>
        <v>Senior Manager</v>
      </c>
      <c r="O11" s="141" t="str">
        <f>IFERROR(__xludf.DUMMYFUNCTION("""COMPUTED_VALUE"""),"Beginner")</f>
        <v>Beginner</v>
      </c>
      <c r="P11" s="143">
        <f>IFERROR(__xludf.DUMMYFUNCTION("""COMPUTED_VALUE"""),0.02732638888888889)</f>
        <v>0.02732638889</v>
      </c>
      <c r="Q11" s="149" t="str">
        <f>IFERROR(__xludf.DUMMYFUNCTION("""COMPUTED_VALUE"""),"Finding and Retaining Talent")</f>
        <v>Finding and Retaining Talent</v>
      </c>
      <c r="R11" s="140"/>
      <c r="S11" s="140"/>
    </row>
    <row r="12" ht="33.75" customHeight="1">
      <c r="A12" s="140"/>
      <c r="B12" s="140"/>
      <c r="C12" s="147">
        <f>IFERROR(__xludf.DUMMYFUNCTION("""COMPUTED_VALUE"""),772319.0)</f>
        <v>772319</v>
      </c>
      <c r="D12" s="148" t="str">
        <f>IFERROR(__xludf.DUMMYFUNCTION("""COMPUTED_VALUE"""),"Assessing Digital Maturity")</f>
        <v>Assessing Digital Maturity</v>
      </c>
      <c r="E12" s="147" t="str">
        <f>IFERROR(__xludf.DUMMYFUNCTION("""COMPUTED_VALUE"""),"C-Suite")</f>
        <v>C-Suite</v>
      </c>
      <c r="F12" s="141" t="str">
        <f>IFERROR(__xludf.DUMMYFUNCTION("""COMPUTED_VALUE"""),"Advanced")</f>
        <v>Advanced</v>
      </c>
      <c r="G12" s="143">
        <f>IFERROR(__xludf.DUMMYFUNCTION("""COMPUTED_VALUE"""),0.027523148148148147)</f>
        <v>0.02752314815</v>
      </c>
      <c r="H12" s="149" t="str">
        <f>IFERROR(__xludf.DUMMYFUNCTION("""COMPUTED_VALUE"""),"Develop Your Strategic Planning Skills ")</f>
        <v>Develop Your Strategic Planning Skills </v>
      </c>
      <c r="I12" s="140"/>
      <c r="J12" s="140"/>
      <c r="K12" s="140"/>
      <c r="L12" s="147">
        <f>IFERROR(__xludf.DUMMYFUNCTION("""COMPUTED_VALUE"""),2825161.0)</f>
        <v>2825161</v>
      </c>
      <c r="M12" s="148" t="str">
        <f>IFERROR(__xludf.DUMMYFUNCTION("""COMPUTED_VALUE"""),"Goal Setting: Objectives and Key Results (OKRs)")</f>
        <v>Goal Setting: Objectives and Key Results (OKRs)</v>
      </c>
      <c r="N12" s="147" t="str">
        <f>IFERROR(__xludf.DUMMYFUNCTION("""COMPUTED_VALUE"""),"Senior Manager")</f>
        <v>Senior Manager</v>
      </c>
      <c r="O12" s="141" t="str">
        <f>IFERROR(__xludf.DUMMYFUNCTION("""COMPUTED_VALUE"""),"Beginner + Intermediate")</f>
        <v>Beginner + Intermediate</v>
      </c>
      <c r="P12" s="143">
        <f>IFERROR(__xludf.DUMMYFUNCTION("""COMPUTED_VALUE"""),0.023680555555555555)</f>
        <v>0.02368055556</v>
      </c>
      <c r="Q12" s="149" t="str">
        <f>IFERROR(__xludf.DUMMYFUNCTION("""COMPUTED_VALUE"""),"Improve Your Coaching Skills as a Manager")</f>
        <v>Improve Your Coaching Skills as a Manager</v>
      </c>
      <c r="R12" s="140"/>
      <c r="S12" s="140"/>
    </row>
    <row r="13" ht="33.75" customHeight="1">
      <c r="A13" s="140"/>
      <c r="B13" s="140"/>
      <c r="C13" s="147">
        <f>IFERROR(__xludf.DUMMYFUNCTION("""COMPUTED_VALUE"""),2895588.0)</f>
        <v>2895588</v>
      </c>
      <c r="D13" s="148" t="str">
        <f>IFERROR(__xludf.DUMMYFUNCTION("""COMPUTED_VALUE"""),"Data Strategy")</f>
        <v>Data Strategy</v>
      </c>
      <c r="E13" s="147" t="str">
        <f>IFERROR(__xludf.DUMMYFUNCTION("""COMPUTED_VALUE"""),"C-Suite")</f>
        <v>C-Suite</v>
      </c>
      <c r="F13" s="141" t="str">
        <f>IFERROR(__xludf.DUMMYFUNCTION("""COMPUTED_VALUE"""),"Advanced")</f>
        <v>Advanced</v>
      </c>
      <c r="G13" s="143">
        <f>IFERROR(__xludf.DUMMYFUNCTION("""COMPUTED_VALUE"""),0.03152777777777778)</f>
        <v>0.03152777778</v>
      </c>
      <c r="H13" s="158" t="str">
        <f>IFERROR(__xludf.DUMMYFUNCTION("""COMPUTED_VALUE"""),"Digital Transformation for Leaders")</f>
        <v>Digital Transformation for Leaders</v>
      </c>
      <c r="I13" s="140"/>
      <c r="J13" s="140"/>
      <c r="K13" s="140"/>
      <c r="L13" s="147">
        <f>IFERROR(__xludf.DUMMYFUNCTION("""COMPUTED_VALUE"""),661748.0)</f>
        <v>661748</v>
      </c>
      <c r="M13" s="148" t="str">
        <f>IFERROR(__xludf.DUMMYFUNCTION("""COMPUTED_VALUE"""),"Rewarding Employee Performance")</f>
        <v>Rewarding Employee Performance</v>
      </c>
      <c r="N13" s="147" t="str">
        <f>IFERROR(__xludf.DUMMYFUNCTION("""COMPUTED_VALUE"""),"Senior Manager")</f>
        <v>Senior Manager</v>
      </c>
      <c r="O13" s="141" t="str">
        <f>IFERROR(__xludf.DUMMYFUNCTION("""COMPUTED_VALUE"""),"Beginner + Intermediate")</f>
        <v>Beginner + Intermediate</v>
      </c>
      <c r="P13" s="143">
        <f>IFERROR(__xludf.DUMMYFUNCTION("""COMPUTED_VALUE"""),0.03037037037037037)</f>
        <v>0.03037037037</v>
      </c>
      <c r="Q13" s="152"/>
      <c r="R13" s="140"/>
      <c r="S13" s="140"/>
    </row>
    <row r="14" ht="33.75" customHeight="1">
      <c r="A14" s="140"/>
      <c r="B14" s="140"/>
      <c r="C14" s="147">
        <f>IFERROR(__xludf.DUMMYFUNCTION("""COMPUTED_VALUE"""),2846000.0)</f>
        <v>2846000</v>
      </c>
      <c r="D14" s="148" t="str">
        <f>IFERROR(__xludf.DUMMYFUNCTION("""COMPUTED_VALUE"""),"Privacy for Executives and Aspiring Executives")</f>
        <v>Privacy for Executives and Aspiring Executives</v>
      </c>
      <c r="E14" s="147" t="str">
        <f>IFERROR(__xludf.DUMMYFUNCTION("""COMPUTED_VALUE"""),"C-Suite")</f>
        <v>C-Suite</v>
      </c>
      <c r="F14" s="141" t="str">
        <f>IFERROR(__xludf.DUMMYFUNCTION("""COMPUTED_VALUE"""),"Beginner")</f>
        <v>Beginner</v>
      </c>
      <c r="G14" s="143">
        <f>IFERROR(__xludf.DUMMYFUNCTION("""COMPUTED_VALUE"""),0.044398148148148145)</f>
        <v>0.04439814815</v>
      </c>
      <c r="H14" s="149" t="str">
        <f>IFERROR(__xludf.DUMMYFUNCTION("""COMPUTED_VALUE"""),"Managing Change")</f>
        <v>Managing Change</v>
      </c>
      <c r="I14" s="140"/>
      <c r="J14" s="140"/>
      <c r="K14" s="140"/>
      <c r="L14" s="147">
        <f>IFERROR(__xludf.DUMMYFUNCTION("""COMPUTED_VALUE"""),672246.0)</f>
        <v>672246</v>
      </c>
      <c r="M14" s="148" t="str">
        <f>IFERROR(__xludf.DUMMYFUNCTION("""COMPUTED_VALUE"""),"Ram Charan on Coaching High Potentials")</f>
        <v>Ram Charan on Coaching High Potentials</v>
      </c>
      <c r="N14" s="147" t="str">
        <f>IFERROR(__xludf.DUMMYFUNCTION("""COMPUTED_VALUE"""),"Senior Manager")</f>
        <v>Senior Manager</v>
      </c>
      <c r="O14" s="141" t="str">
        <f>IFERROR(__xludf.DUMMYFUNCTION("""COMPUTED_VALUE"""),"General")</f>
        <v>General</v>
      </c>
      <c r="P14" s="143">
        <f>IFERROR(__xludf.DUMMYFUNCTION("""COMPUTED_VALUE"""),0.01923611111111111)</f>
        <v>0.01923611111</v>
      </c>
      <c r="Q14" s="151"/>
      <c r="R14" s="140"/>
      <c r="S14" s="140"/>
    </row>
    <row r="15" ht="33.75" customHeight="1">
      <c r="A15" s="140"/>
      <c r="B15" s="140"/>
      <c r="C15" s="147">
        <f>IFERROR(__xludf.DUMMYFUNCTION("""COMPUTED_VALUE"""),737754.0)</f>
        <v>737754</v>
      </c>
      <c r="D15" s="148" t="str">
        <f>IFERROR(__xludf.DUMMYFUNCTION("""COMPUTED_VALUE"""),"Mergers &amp; Acquisitions")</f>
        <v>Mergers &amp; Acquisitions</v>
      </c>
      <c r="E15" s="147" t="str">
        <f>IFERROR(__xludf.DUMMYFUNCTION("""COMPUTED_VALUE"""),"C-Suite")</f>
        <v>C-Suite</v>
      </c>
      <c r="F15" s="141" t="str">
        <f>IFERROR(__xludf.DUMMYFUNCTION("""COMPUTED_VALUE"""),"Beginner")</f>
        <v>Beginner</v>
      </c>
      <c r="G15" s="143">
        <f>IFERROR(__xludf.DUMMYFUNCTION("""COMPUTED_VALUE"""),0.036944444444444446)</f>
        <v>0.03694444444</v>
      </c>
      <c r="H15" s="151"/>
      <c r="I15" s="140"/>
      <c r="J15" s="140"/>
      <c r="K15" s="140"/>
      <c r="L15" s="147">
        <f>IFERROR(__xludf.DUMMYFUNCTION("""COMPUTED_VALUE"""),2242045.0)</f>
        <v>2242045</v>
      </c>
      <c r="M15" s="148" t="str">
        <f>IFERROR(__xludf.DUMMYFUNCTION("""COMPUTED_VALUE"""),"The Purpose Effect (getAbstract Summary)")</f>
        <v>The Purpose Effect (getAbstract Summary)</v>
      </c>
      <c r="N15" s="147" t="str">
        <f>IFERROR(__xludf.DUMMYFUNCTION("""COMPUTED_VALUE"""),"Senior Manager")</f>
        <v>Senior Manager</v>
      </c>
      <c r="O15" s="141" t="str">
        <f>IFERROR(__xludf.DUMMYFUNCTION("""COMPUTED_VALUE"""),"General")</f>
        <v>General</v>
      </c>
      <c r="P15" s="143">
        <f>IFERROR(__xludf.DUMMYFUNCTION("""COMPUTED_VALUE"""),0.005138888888888889)</f>
        <v>0.005138888889</v>
      </c>
      <c r="Q15" s="151"/>
      <c r="R15" s="140"/>
      <c r="S15" s="140"/>
    </row>
    <row r="16" ht="33.75" customHeight="1">
      <c r="A16" s="140"/>
      <c r="B16" s="140"/>
      <c r="C16" s="147">
        <f>IFERROR(__xludf.DUMMYFUNCTION("""COMPUTED_VALUE"""),182403.0)</f>
        <v>182403</v>
      </c>
      <c r="D16" s="148" t="str">
        <f>IFERROR(__xludf.DUMMYFUNCTION("""COMPUTED_VALUE"""),"Developing a Competitive Strategy")</f>
        <v>Developing a Competitive Strategy</v>
      </c>
      <c r="E16" s="147" t="str">
        <f>IFERROR(__xludf.DUMMYFUNCTION("""COMPUTED_VALUE"""),"C-Suite")</f>
        <v>C-Suite</v>
      </c>
      <c r="F16" s="141" t="str">
        <f>IFERROR(__xludf.DUMMYFUNCTION("""COMPUTED_VALUE"""),"Intermediate")</f>
        <v>Intermediate</v>
      </c>
      <c r="G16" s="143">
        <f>IFERROR(__xludf.DUMMYFUNCTION("""COMPUTED_VALUE"""),0.04486111111111111)</f>
        <v>0.04486111111</v>
      </c>
      <c r="H16" s="151"/>
      <c r="I16" s="140"/>
      <c r="J16" s="140"/>
      <c r="K16" s="140"/>
      <c r="L16" s="147">
        <f>IFERROR(__xludf.DUMMYFUNCTION("""COMPUTED_VALUE"""),672234.0)</f>
        <v>672234</v>
      </c>
      <c r="M16" s="148" t="str">
        <f>IFERROR(__xludf.DUMMYFUNCTION("""COMPUTED_VALUE"""),"Creating the Conditions for Others to Thrive")</f>
        <v>Creating the Conditions for Others to Thrive</v>
      </c>
      <c r="N16" s="147" t="str">
        <f>IFERROR(__xludf.DUMMYFUNCTION("""COMPUTED_VALUE"""),"Senior Manager")</f>
        <v>Senior Manager</v>
      </c>
      <c r="O16" s="141" t="str">
        <f>IFERROR(__xludf.DUMMYFUNCTION("""COMPUTED_VALUE"""),"Intermediate")</f>
        <v>Intermediate</v>
      </c>
      <c r="P16" s="143">
        <f>IFERROR(__xludf.DUMMYFUNCTION("""COMPUTED_VALUE"""),0.020902777777777777)</f>
        <v>0.02090277778</v>
      </c>
      <c r="Q16" s="151"/>
      <c r="R16" s="140"/>
      <c r="S16" s="140"/>
    </row>
    <row r="17" ht="33.75" customHeight="1">
      <c r="A17" s="140"/>
      <c r="B17" s="140"/>
      <c r="C17" s="147">
        <f>IFERROR(__xludf.DUMMYFUNCTION("""COMPUTED_VALUE"""),373563.0)</f>
        <v>373563</v>
      </c>
      <c r="D17" s="148" t="str">
        <f>IFERROR(__xludf.DUMMYFUNCTION("""COMPUTED_VALUE"""),"Designing Growth Strategies")</f>
        <v>Designing Growth Strategies</v>
      </c>
      <c r="E17" s="147" t="str">
        <f>IFERROR(__xludf.DUMMYFUNCTION("""COMPUTED_VALUE"""),"C-Suite")</f>
        <v>C-Suite</v>
      </c>
      <c r="F17" s="141" t="str">
        <f>IFERROR(__xludf.DUMMYFUNCTION("""COMPUTED_VALUE"""),"Intermediate")</f>
        <v>Intermediate</v>
      </c>
      <c r="G17" s="143">
        <f>IFERROR(__xludf.DUMMYFUNCTION("""COMPUTED_VALUE"""),0.04673611111111111)</f>
        <v>0.04673611111</v>
      </c>
      <c r="H17" s="151"/>
      <c r="I17" s="140"/>
      <c r="J17" s="140"/>
      <c r="K17" s="140"/>
      <c r="L17" s="147">
        <f>IFERROR(__xludf.DUMMYFUNCTION("""COMPUTED_VALUE"""),700792.0)</f>
        <v>700792</v>
      </c>
      <c r="M17" s="148" t="str">
        <f>IFERROR(__xludf.DUMMYFUNCTION("""COMPUTED_VALUE"""),"Employee Experience")</f>
        <v>Employee Experience</v>
      </c>
      <c r="N17" s="147" t="str">
        <f>IFERROR(__xludf.DUMMYFUNCTION("""COMPUTED_VALUE"""),"Senior Manager")</f>
        <v>Senior Manager</v>
      </c>
      <c r="O17" s="141" t="str">
        <f>IFERROR(__xludf.DUMMYFUNCTION("""COMPUTED_VALUE"""),"Intermediate")</f>
        <v>Intermediate</v>
      </c>
      <c r="P17" s="143">
        <f>IFERROR(__xludf.DUMMYFUNCTION("""COMPUTED_VALUE"""),0.025138888888888888)</f>
        <v>0.02513888889</v>
      </c>
      <c r="Q17" s="151"/>
      <c r="R17" s="140"/>
      <c r="S17" s="140"/>
    </row>
    <row r="18" ht="33.75" customHeight="1">
      <c r="A18" s="140"/>
      <c r="B18" s="140"/>
      <c r="C18" s="147">
        <f>IFERROR(__xludf.DUMMYFUNCTION("""COMPUTED_VALUE"""),431182.0)</f>
        <v>431182</v>
      </c>
      <c r="D18" s="148" t="str">
        <f>IFERROR(__xludf.DUMMYFUNCTION("""COMPUTED_VALUE"""),"Sustainability Strategies")</f>
        <v>Sustainability Strategies</v>
      </c>
      <c r="E18" s="147" t="str">
        <f>IFERROR(__xludf.DUMMYFUNCTION("""COMPUTED_VALUE"""),"C-Suite")</f>
        <v>C-Suite</v>
      </c>
      <c r="F18" s="141" t="str">
        <f>IFERROR(__xludf.DUMMYFUNCTION("""COMPUTED_VALUE"""),"Intermediate")</f>
        <v>Intermediate</v>
      </c>
      <c r="G18" s="143">
        <f>IFERROR(__xludf.DUMMYFUNCTION("""COMPUTED_VALUE"""),0.03908564814814815)</f>
        <v>0.03908564815</v>
      </c>
      <c r="H18" s="151"/>
      <c r="I18" s="140"/>
      <c r="J18" s="140"/>
      <c r="K18" s="140"/>
      <c r="L18" s="147">
        <f>IFERROR(__xludf.DUMMYFUNCTION("""COMPUTED_VALUE"""),2252217.0)</f>
        <v>2252217</v>
      </c>
      <c r="M18" s="148" t="str">
        <f>IFERROR(__xludf.DUMMYFUNCTION("""COMPUTED_VALUE"""),"Managing Multiple Generations")</f>
        <v>Managing Multiple Generations</v>
      </c>
      <c r="N18" s="147" t="str">
        <f>IFERROR(__xludf.DUMMYFUNCTION("""COMPUTED_VALUE"""),"Senior Manager")</f>
        <v>Senior Manager</v>
      </c>
      <c r="O18" s="141" t="str">
        <f>IFERROR(__xludf.DUMMYFUNCTION("""COMPUTED_VALUE"""),"Intermediate")</f>
        <v>Intermediate</v>
      </c>
      <c r="P18" s="143">
        <f>IFERROR(__xludf.DUMMYFUNCTION("""COMPUTED_VALUE"""),0.029282407407407406)</f>
        <v>0.02928240741</v>
      </c>
      <c r="Q18" s="151"/>
      <c r="R18" s="140"/>
      <c r="S18" s="140"/>
    </row>
    <row r="19" ht="33.75" customHeight="1">
      <c r="A19" s="140"/>
      <c r="B19" s="140"/>
      <c r="C19" s="147">
        <f>IFERROR(__xludf.DUMMYFUNCTION("""COMPUTED_VALUE"""),2811712.0)</f>
        <v>2811712</v>
      </c>
      <c r="D19" s="148" t="str">
        <f>IFERROR(__xludf.DUMMYFUNCTION("""COMPUTED_VALUE"""),"Aaron Dignan on Transformational Change")</f>
        <v>Aaron Dignan on Transformational Change</v>
      </c>
      <c r="E19" s="147" t="str">
        <f>IFERROR(__xludf.DUMMYFUNCTION("""COMPUTED_VALUE"""),"C-Suite")</f>
        <v>C-Suite</v>
      </c>
      <c r="F19" s="141" t="str">
        <f>IFERROR(__xludf.DUMMYFUNCTION("""COMPUTED_VALUE"""),"General")</f>
        <v>General</v>
      </c>
      <c r="G19" s="143">
        <f>IFERROR(__xludf.DUMMYFUNCTION("""COMPUTED_VALUE"""),0.013125)</f>
        <v>0.013125</v>
      </c>
      <c r="H19" s="151"/>
      <c r="I19" s="140"/>
      <c r="J19" s="140"/>
      <c r="K19" s="140"/>
      <c r="L19" s="147">
        <f>IFERROR(__xludf.DUMMYFUNCTION("""COMPUTED_VALUE"""),2806197.0)</f>
        <v>2806197</v>
      </c>
      <c r="M19" s="148" t="str">
        <f>IFERROR(__xludf.DUMMYFUNCTION("""COMPUTED_VALUE"""),"Human-Centered Leadership")</f>
        <v>Human-Centered Leadership</v>
      </c>
      <c r="N19" s="147" t="str">
        <f>IFERROR(__xludf.DUMMYFUNCTION("""COMPUTED_VALUE"""),"Senior Manager")</f>
        <v>Senior Manager</v>
      </c>
      <c r="O19" s="141" t="str">
        <f>IFERROR(__xludf.DUMMYFUNCTION("""COMPUTED_VALUE"""),"Intermediate")</f>
        <v>Intermediate</v>
      </c>
      <c r="P19" s="143">
        <f>IFERROR(__xludf.DUMMYFUNCTION("""COMPUTED_VALUE"""),0.01902777777777778)</f>
        <v>0.01902777778</v>
      </c>
      <c r="Q19" s="151"/>
      <c r="R19" s="140"/>
      <c r="S19" s="140"/>
    </row>
    <row r="20" ht="33.75" customHeight="1">
      <c r="A20" s="140"/>
      <c r="B20" s="140"/>
      <c r="C20" s="147">
        <f>IFERROR(__xludf.DUMMYFUNCTION("""COMPUTED_VALUE"""),782126.0)</f>
        <v>782126</v>
      </c>
      <c r="D20" s="148" t="str">
        <f>IFERROR(__xludf.DUMMYFUNCTION("""COMPUTED_VALUE"""),"Reid Hoffman and Chris Yeh on Blitzscaling")</f>
        <v>Reid Hoffman and Chris Yeh on Blitzscaling</v>
      </c>
      <c r="E20" s="147" t="str">
        <f>IFERROR(__xludf.DUMMYFUNCTION("""COMPUTED_VALUE"""),"C-Suite")</f>
        <v>C-Suite</v>
      </c>
      <c r="F20" s="141" t="str">
        <f>IFERROR(__xludf.DUMMYFUNCTION("""COMPUTED_VALUE"""),"General")</f>
        <v>General</v>
      </c>
      <c r="G20" s="143">
        <f>IFERROR(__xludf.DUMMYFUNCTION("""COMPUTED_VALUE"""),0.012291666666666666)</f>
        <v>0.01229166667</v>
      </c>
      <c r="H20" s="151"/>
      <c r="I20" s="140"/>
      <c r="J20" s="140"/>
      <c r="K20" s="140"/>
      <c r="L20" s="147">
        <f>IFERROR(__xludf.DUMMYFUNCTION("""COMPUTED_VALUE"""),659268.0)</f>
        <v>659268</v>
      </c>
      <c r="M20" s="148" t="str">
        <f>IFERROR(__xludf.DUMMYFUNCTION("""COMPUTED_VALUE"""),"360-Degree Feedback")</f>
        <v>360-Degree Feedback</v>
      </c>
      <c r="N20" s="147" t="str">
        <f>IFERROR(__xludf.DUMMYFUNCTION("""COMPUTED_VALUE"""),"Senior Manager")</f>
        <v>Senior Manager</v>
      </c>
      <c r="O20" s="141" t="str">
        <f>IFERROR(__xludf.DUMMYFUNCTION("""COMPUTED_VALUE"""),"Intermediate")</f>
        <v>Intermediate</v>
      </c>
      <c r="P20" s="143">
        <f>IFERROR(__xludf.DUMMYFUNCTION("""COMPUTED_VALUE"""),0.021979166666666668)</f>
        <v>0.02197916667</v>
      </c>
      <c r="Q20" s="151"/>
      <c r="R20" s="140"/>
      <c r="S20" s="140"/>
    </row>
    <row r="21" ht="33.75" customHeight="1">
      <c r="A21" s="140"/>
      <c r="B21" s="140"/>
      <c r="C21" s="147">
        <f>IFERROR(__xludf.DUMMYFUNCTION("""COMPUTED_VALUE"""),685023.0)</f>
        <v>685023</v>
      </c>
      <c r="D21" s="148" t="str">
        <f>IFERROR(__xludf.DUMMYFUNCTION("""COMPUTED_VALUE"""),"Leading with Vision")</f>
        <v>Leading with Vision</v>
      </c>
      <c r="E21" s="147" t="str">
        <f>IFERROR(__xludf.DUMMYFUNCTION("""COMPUTED_VALUE"""),"Senior Manager")</f>
        <v>Senior Manager</v>
      </c>
      <c r="F21" s="141" t="str">
        <f>IFERROR(__xludf.DUMMYFUNCTION("""COMPUTED_VALUE"""),"Advanced")</f>
        <v>Advanced</v>
      </c>
      <c r="G21" s="143">
        <f>IFERROR(__xludf.DUMMYFUNCTION("""COMPUTED_VALUE"""),0.05386574074074074)</f>
        <v>0.05386574074</v>
      </c>
      <c r="H21" s="151"/>
      <c r="I21" s="140"/>
      <c r="J21" s="140"/>
      <c r="K21" s="140"/>
      <c r="L21" s="147">
        <f>IFERROR(__xludf.DUMMYFUNCTION("""COMPUTED_VALUE"""),706913.0)</f>
        <v>706913</v>
      </c>
      <c r="M21" s="148" t="str">
        <f>IFERROR(__xludf.DUMMYFUNCTION("""COMPUTED_VALUE"""),"Working with an Executive Coach")</f>
        <v>Working with an Executive Coach</v>
      </c>
      <c r="N21" s="147" t="str">
        <f>IFERROR(__xludf.DUMMYFUNCTION("""COMPUTED_VALUE"""),"Senior Manager")</f>
        <v>Senior Manager</v>
      </c>
      <c r="O21" s="141" t="str">
        <f>IFERROR(__xludf.DUMMYFUNCTION("""COMPUTED_VALUE"""),"Intermediate")</f>
        <v>Intermediate</v>
      </c>
      <c r="P21" s="143">
        <f>IFERROR(__xludf.DUMMYFUNCTION("""COMPUTED_VALUE"""),0.02648148148148148)</f>
        <v>0.02648148148</v>
      </c>
      <c r="Q21" s="151"/>
      <c r="R21" s="140"/>
      <c r="S21" s="140"/>
    </row>
    <row r="22" ht="33.75" customHeight="1">
      <c r="A22" s="140"/>
      <c r="B22" s="140"/>
      <c r="C22" s="147">
        <f>IFERROR(__xludf.DUMMYFUNCTION("""COMPUTED_VALUE"""),5028616.0)</f>
        <v>5028616</v>
      </c>
      <c r="D22" s="148" t="str">
        <f>IFERROR(__xludf.DUMMYFUNCTION("""COMPUTED_VALUE"""),"Strategic Partnerships: Ecosystems and Platforms")</f>
        <v>Strategic Partnerships: Ecosystems and Platforms</v>
      </c>
      <c r="E22" s="147" t="str">
        <f>IFERROR(__xludf.DUMMYFUNCTION("""COMPUTED_VALUE"""),"Senior Manager")</f>
        <v>Senior Manager</v>
      </c>
      <c r="F22" s="141" t="str">
        <f>IFERROR(__xludf.DUMMYFUNCTION("""COMPUTED_VALUE"""),"Advanced")</f>
        <v>Advanced</v>
      </c>
      <c r="G22" s="143">
        <f>IFERROR(__xludf.DUMMYFUNCTION("""COMPUTED_VALUE"""),0.01806712962962963)</f>
        <v>0.01806712963</v>
      </c>
      <c r="H22" s="151"/>
      <c r="I22" s="140"/>
      <c r="J22" s="140"/>
      <c r="K22" s="140"/>
      <c r="L22" s="147">
        <f>IFERROR(__xludf.DUMMYFUNCTION("""COMPUTED_VALUE"""),696326.0)</f>
        <v>696326</v>
      </c>
      <c r="M22" s="148" t="str">
        <f>IFERROR(__xludf.DUMMYFUNCTION("""COMPUTED_VALUE"""),"Becoming a Thought Leader")</f>
        <v>Becoming a Thought Leader</v>
      </c>
      <c r="N22" s="147" t="str">
        <f>IFERROR(__xludf.DUMMYFUNCTION("""COMPUTED_VALUE"""),"Senior Manager")</f>
        <v>Senior Manager</v>
      </c>
      <c r="O22" s="141" t="str">
        <f>IFERROR(__xludf.DUMMYFUNCTION("""COMPUTED_VALUE"""),"Intermediate")</f>
        <v>Intermediate</v>
      </c>
      <c r="P22" s="143">
        <f>IFERROR(__xludf.DUMMYFUNCTION("""COMPUTED_VALUE"""),0.05327546296296296)</f>
        <v>0.05327546296</v>
      </c>
      <c r="Q22" s="151"/>
      <c r="R22" s="140"/>
      <c r="S22" s="140"/>
    </row>
    <row r="23" ht="33.75" customHeight="1">
      <c r="A23" s="140"/>
      <c r="B23" s="140"/>
      <c r="C23" s="147">
        <f>IFERROR(__xludf.DUMMYFUNCTION("""COMPUTED_VALUE"""),2822054.0)</f>
        <v>2822054</v>
      </c>
      <c r="D23" s="148" t="str">
        <f>IFERROR(__xludf.DUMMYFUNCTION("""COMPUTED_VALUE"""),"Digital Technologies Case Studies: AI, IOT, Robotics, Blockchain")</f>
        <v>Digital Technologies Case Studies: AI, IOT, Robotics, Blockchain</v>
      </c>
      <c r="E23" s="147" t="str">
        <f>IFERROR(__xludf.DUMMYFUNCTION("""COMPUTED_VALUE"""),"Senior Manager")</f>
        <v>Senior Manager</v>
      </c>
      <c r="F23" s="141" t="str">
        <f>IFERROR(__xludf.DUMMYFUNCTION("""COMPUTED_VALUE"""),"Advanced")</f>
        <v>Advanced</v>
      </c>
      <c r="G23" s="143">
        <f>IFERROR(__xludf.DUMMYFUNCTION("""COMPUTED_VALUE"""),0.03023148148148148)</f>
        <v>0.03023148148</v>
      </c>
      <c r="H23" s="151"/>
      <c r="I23" s="140"/>
      <c r="J23" s="140"/>
      <c r="K23" s="140"/>
      <c r="L23" s="147">
        <f>IFERROR(__xludf.DUMMYFUNCTION("""COMPUTED_VALUE"""),3107154.0)</f>
        <v>3107154</v>
      </c>
      <c r="M23" s="148" t="str">
        <f>IFERROR(__xludf.DUMMYFUNCTION("""COMPUTED_VALUE"""),"Coaching New Managers")</f>
        <v>Coaching New Managers</v>
      </c>
      <c r="N23" s="147" t="str">
        <f>IFERROR(__xludf.DUMMYFUNCTION("""COMPUTED_VALUE"""),"Senior Manager")</f>
        <v>Senior Manager</v>
      </c>
      <c r="O23" s="141" t="str">
        <f>IFERROR(__xludf.DUMMYFUNCTION("""COMPUTED_VALUE"""),"Intermediate")</f>
        <v>Intermediate</v>
      </c>
      <c r="P23" s="143">
        <f>IFERROR(__xludf.DUMMYFUNCTION("""COMPUTED_VALUE"""),0.021064814814814814)</f>
        <v>0.02106481481</v>
      </c>
      <c r="Q23" s="151"/>
      <c r="R23" s="140"/>
      <c r="S23" s="140"/>
    </row>
    <row r="24" ht="33.75" customHeight="1">
      <c r="A24" s="140"/>
      <c r="B24" s="140"/>
      <c r="C24" s="147">
        <f>IFERROR(__xludf.DUMMYFUNCTION("""COMPUTED_VALUE"""),5028627.0)</f>
        <v>5028627</v>
      </c>
      <c r="D24" s="148" t="str">
        <f>IFERROR(__xludf.DUMMYFUNCTION("""COMPUTED_VALUE"""),"Organizational Thought Leadership")</f>
        <v>Organizational Thought Leadership</v>
      </c>
      <c r="E24" s="147" t="str">
        <f>IFERROR(__xludf.DUMMYFUNCTION("""COMPUTED_VALUE"""),"Senior Manager")</f>
        <v>Senior Manager</v>
      </c>
      <c r="F24" s="141" t="str">
        <f>IFERROR(__xludf.DUMMYFUNCTION("""COMPUTED_VALUE"""),"Advanced")</f>
        <v>Advanced</v>
      </c>
      <c r="G24" s="143">
        <f>IFERROR(__xludf.DUMMYFUNCTION("""COMPUTED_VALUE"""),0.061064814814814815)</f>
        <v>0.06106481481</v>
      </c>
      <c r="H24" s="151"/>
      <c r="I24" s="140"/>
      <c r="J24" s="140"/>
      <c r="K24" s="140"/>
      <c r="L24" s="147">
        <f>IFERROR(__xludf.DUMMYFUNCTION("""COMPUTED_VALUE"""),427474.0)</f>
        <v>427474</v>
      </c>
      <c r="M24" s="148" t="str">
        <f>IFERROR(__xludf.DUMMYFUNCTION("""COMPUTED_VALUE"""),"Building Your Team")</f>
        <v>Building Your Team</v>
      </c>
      <c r="N24" s="147" t="str">
        <f>IFERROR(__xludf.DUMMYFUNCTION("""COMPUTED_VALUE"""),"Manager")</f>
        <v>Manager</v>
      </c>
      <c r="O24" s="141" t="str">
        <f>IFERROR(__xludf.DUMMYFUNCTION("""COMPUTED_VALUE"""),"Beginner")</f>
        <v>Beginner</v>
      </c>
      <c r="P24" s="143">
        <f>IFERROR(__xludf.DUMMYFUNCTION("""COMPUTED_VALUE"""),0.0390625)</f>
        <v>0.0390625</v>
      </c>
      <c r="Q24" s="151"/>
      <c r="R24" s="140"/>
      <c r="S24" s="140"/>
    </row>
    <row r="25" ht="33.75" customHeight="1">
      <c r="A25" s="140"/>
      <c r="B25" s="140"/>
      <c r="C25" s="147">
        <f>IFERROR(__xludf.DUMMYFUNCTION("""COMPUTED_VALUE"""),2825161.0)</f>
        <v>2825161</v>
      </c>
      <c r="D25" s="148" t="str">
        <f>IFERROR(__xludf.DUMMYFUNCTION("""COMPUTED_VALUE"""),"Goal Setting: Objectives and Key Results (OKRs)")</f>
        <v>Goal Setting: Objectives and Key Results (OKRs)</v>
      </c>
      <c r="E25" s="147" t="str">
        <f>IFERROR(__xludf.DUMMYFUNCTION("""COMPUTED_VALUE"""),"Senior Manager")</f>
        <v>Senior Manager</v>
      </c>
      <c r="F25" s="141" t="str">
        <f>IFERROR(__xludf.DUMMYFUNCTION("""COMPUTED_VALUE"""),"Beginner + Intermediate")</f>
        <v>Beginner + Intermediate</v>
      </c>
      <c r="G25" s="143">
        <f>IFERROR(__xludf.DUMMYFUNCTION("""COMPUTED_VALUE"""),0.023680555555555555)</f>
        <v>0.02368055556</v>
      </c>
      <c r="H25" s="151"/>
      <c r="I25" s="140"/>
      <c r="J25" s="140"/>
      <c r="K25" s="140"/>
      <c r="L25" s="147">
        <f>IFERROR(__xludf.DUMMYFUNCTION("""COMPUTED_VALUE"""),456353.0)</f>
        <v>456353</v>
      </c>
      <c r="M25" s="148" t="str">
        <f>IFERROR(__xludf.DUMMYFUNCTION("""COMPUTED_VALUE"""),"Setting Team and Employee Goals Using SMART Methodology")</f>
        <v>Setting Team and Employee Goals Using SMART Methodology</v>
      </c>
      <c r="N25" s="147" t="str">
        <f>IFERROR(__xludf.DUMMYFUNCTION("""COMPUTED_VALUE"""),"Manager")</f>
        <v>Manager</v>
      </c>
      <c r="O25" s="141" t="str">
        <f>IFERROR(__xludf.DUMMYFUNCTION("""COMPUTED_VALUE"""),"Beginner")</f>
        <v>Beginner</v>
      </c>
      <c r="P25" s="143">
        <f>IFERROR(__xludf.DUMMYFUNCTION("""COMPUTED_VALUE"""),0.03857638888888889)</f>
        <v>0.03857638889</v>
      </c>
      <c r="Q25" s="151"/>
      <c r="R25" s="140"/>
      <c r="S25" s="140"/>
    </row>
    <row r="26" ht="33.75" customHeight="1">
      <c r="A26" s="140"/>
      <c r="B26" s="140"/>
      <c r="C26" s="147">
        <f>IFERROR(__xludf.DUMMYFUNCTION("""COMPUTED_VALUE"""),696327.0)</f>
        <v>696327</v>
      </c>
      <c r="D26" s="148" t="str">
        <f>IFERROR(__xludf.DUMMYFUNCTION("""COMPUTED_VALUE"""),"Strategic Partnerships")</f>
        <v>Strategic Partnerships</v>
      </c>
      <c r="E26" s="147" t="str">
        <f>IFERROR(__xludf.DUMMYFUNCTION("""COMPUTED_VALUE"""),"Senior Manager")</f>
        <v>Senior Manager</v>
      </c>
      <c r="F26" s="141" t="str">
        <f>IFERROR(__xludf.DUMMYFUNCTION("""COMPUTED_VALUE"""),"Beginner + Intermediate")</f>
        <v>Beginner + Intermediate</v>
      </c>
      <c r="G26" s="143">
        <f>IFERROR(__xludf.DUMMYFUNCTION("""COMPUTED_VALUE"""),0.03417824074074074)</f>
        <v>0.03417824074</v>
      </c>
      <c r="H26" s="151"/>
      <c r="I26" s="140"/>
      <c r="J26" s="140"/>
      <c r="K26" s="140"/>
      <c r="L26" s="147">
        <f>IFERROR(__xludf.DUMMYFUNCTION("""COMPUTED_VALUE"""),2876075.0)</f>
        <v>2876075</v>
      </c>
      <c r="M26" s="148" t="str">
        <f>IFERROR(__xludf.DUMMYFUNCTION("""COMPUTED_VALUE"""),"Virtual Performance Reviews and Feedback")</f>
        <v>Virtual Performance Reviews and Feedback</v>
      </c>
      <c r="N26" s="147" t="str">
        <f>IFERROR(__xludf.DUMMYFUNCTION("""COMPUTED_VALUE"""),"Manager")</f>
        <v>Manager</v>
      </c>
      <c r="O26" s="141" t="str">
        <f>IFERROR(__xludf.DUMMYFUNCTION("""COMPUTED_VALUE"""),"Beginner")</f>
        <v>Beginner</v>
      </c>
      <c r="P26" s="143">
        <f>IFERROR(__xludf.DUMMYFUNCTION("""COMPUTED_VALUE"""),0.033935185185185186)</f>
        <v>0.03393518519</v>
      </c>
      <c r="Q26" s="151"/>
      <c r="R26" s="140"/>
      <c r="S26" s="140"/>
    </row>
    <row r="27" ht="33.75" customHeight="1">
      <c r="A27" s="140"/>
      <c r="B27" s="140"/>
      <c r="C27" s="147">
        <f>IFERROR(__xludf.DUMMYFUNCTION("""COMPUTED_VALUE"""),373992.0)</f>
        <v>373992</v>
      </c>
      <c r="D27" s="148" t="str">
        <f>IFERROR(__xludf.DUMMYFUNCTION("""COMPUTED_VALUE"""),"Executive Decision-Making")</f>
        <v>Executive Decision-Making</v>
      </c>
      <c r="E27" s="147" t="str">
        <f>IFERROR(__xludf.DUMMYFUNCTION("""COMPUTED_VALUE"""),"Senior Manager")</f>
        <v>Senior Manager</v>
      </c>
      <c r="F27" s="141" t="str">
        <f>IFERROR(__xludf.DUMMYFUNCTION("""COMPUTED_VALUE"""),"Intermediate")</f>
        <v>Intermediate</v>
      </c>
      <c r="G27" s="143">
        <f>IFERROR(__xludf.DUMMYFUNCTION("""COMPUTED_VALUE"""),0.03484953703703704)</f>
        <v>0.03484953704</v>
      </c>
      <c r="H27" s="151"/>
      <c r="I27" s="140"/>
      <c r="J27" s="140"/>
      <c r="K27" s="140"/>
      <c r="L27" s="147">
        <f>IFERROR(__xludf.DUMMYFUNCTION("""COMPUTED_VALUE"""),737767.0)</f>
        <v>737767</v>
      </c>
      <c r="M27" s="148" t="str">
        <f>IFERROR(__xludf.DUMMYFUNCTION("""COMPUTED_VALUE"""),"Lean Technology Strategy: Building High-Performing Teams")</f>
        <v>Lean Technology Strategy: Building High-Performing Teams</v>
      </c>
      <c r="N27" s="147" t="str">
        <f>IFERROR(__xludf.DUMMYFUNCTION("""COMPUTED_VALUE"""),"Manager")</f>
        <v>Manager</v>
      </c>
      <c r="O27" s="141" t="str">
        <f>IFERROR(__xludf.DUMMYFUNCTION("""COMPUTED_VALUE"""),"Beginner")</f>
        <v>Beginner</v>
      </c>
      <c r="P27" s="143">
        <f>IFERROR(__xludf.DUMMYFUNCTION("""COMPUTED_VALUE"""),0.023483796296296298)</f>
        <v>0.0234837963</v>
      </c>
      <c r="Q27" s="151"/>
      <c r="R27" s="140"/>
      <c r="S27" s="140"/>
    </row>
    <row r="28" ht="33.75" customHeight="1">
      <c r="A28" s="140"/>
      <c r="B28" s="140"/>
      <c r="C28" s="147">
        <f>IFERROR(__xludf.DUMMYFUNCTION("""COMPUTED_VALUE"""),167027.0)</f>
        <v>167027</v>
      </c>
      <c r="D28" s="148" t="str">
        <f>IFERROR(__xludf.DUMMYFUNCTION("""COMPUTED_VALUE"""),"Executive Leadership")</f>
        <v>Executive Leadership</v>
      </c>
      <c r="E28" s="147" t="str">
        <f>IFERROR(__xludf.DUMMYFUNCTION("""COMPUTED_VALUE"""),"Senior Manager")</f>
        <v>Senior Manager</v>
      </c>
      <c r="F28" s="141" t="str">
        <f>IFERROR(__xludf.DUMMYFUNCTION("""COMPUTED_VALUE"""),"Intermediate")</f>
        <v>Intermediate</v>
      </c>
      <c r="G28" s="143">
        <f>IFERROR(__xludf.DUMMYFUNCTION("""COMPUTED_VALUE"""),0.055)</f>
        <v>0.055</v>
      </c>
      <c r="H28" s="151"/>
      <c r="I28" s="140"/>
      <c r="J28" s="140"/>
      <c r="K28" s="140"/>
      <c r="L28" s="147">
        <f>IFERROR(__xludf.DUMMYFUNCTION("""COMPUTED_VALUE"""),688508.0)</f>
        <v>688508</v>
      </c>
      <c r="M28" s="148" t="str">
        <f>IFERROR(__xludf.DUMMYFUNCTION("""COMPUTED_VALUE"""),"Motivating and Engaging Employees")</f>
        <v>Motivating and Engaging Employees</v>
      </c>
      <c r="N28" s="147" t="str">
        <f>IFERROR(__xludf.DUMMYFUNCTION("""COMPUTED_VALUE"""),"Manager")</f>
        <v>Manager</v>
      </c>
      <c r="O28" s="141" t="str">
        <f>IFERROR(__xludf.DUMMYFUNCTION("""COMPUTED_VALUE"""),"Beginner + Intermediate")</f>
        <v>Beginner + Intermediate</v>
      </c>
      <c r="P28" s="143">
        <f>IFERROR(__xludf.DUMMYFUNCTION("""COMPUTED_VALUE"""),0.032337962962962964)</f>
        <v>0.03233796296</v>
      </c>
      <c r="Q28" s="151"/>
      <c r="R28" s="140"/>
      <c r="S28" s="140"/>
    </row>
    <row r="29" ht="33.75" customHeight="1">
      <c r="A29" s="140"/>
      <c r="B29" s="140"/>
      <c r="C29" s="147">
        <f>IFERROR(__xludf.DUMMYFUNCTION("""COMPUTED_VALUE"""),520220.0)</f>
        <v>520220</v>
      </c>
      <c r="D29" s="148" t="str">
        <f>IFERROR(__xludf.DUMMYFUNCTION("""COMPUTED_VALUE"""),"Organizational Learning and Development")</f>
        <v>Organizational Learning and Development</v>
      </c>
      <c r="E29" s="147" t="str">
        <f>IFERROR(__xludf.DUMMYFUNCTION("""COMPUTED_VALUE"""),"Senior Manager")</f>
        <v>Senior Manager</v>
      </c>
      <c r="F29" s="141" t="str">
        <f>IFERROR(__xludf.DUMMYFUNCTION("""COMPUTED_VALUE"""),"Intermediate")</f>
        <v>Intermediate</v>
      </c>
      <c r="G29" s="143">
        <f>IFERROR(__xludf.DUMMYFUNCTION("""COMPUTED_VALUE"""),0.03736111111111111)</f>
        <v>0.03736111111</v>
      </c>
      <c r="H29" s="151"/>
      <c r="I29" s="140"/>
      <c r="J29" s="140"/>
      <c r="K29" s="140"/>
      <c r="L29" s="147">
        <f>IFERROR(__xludf.DUMMYFUNCTION("""COMPUTED_VALUE"""),802842.0)</f>
        <v>802842</v>
      </c>
      <c r="M29" s="148" t="str">
        <f>IFERROR(__xludf.DUMMYFUNCTION("""COMPUTED_VALUE"""),"Coaching and Developing Employees")</f>
        <v>Coaching and Developing Employees</v>
      </c>
      <c r="N29" s="147" t="str">
        <f>IFERROR(__xludf.DUMMYFUNCTION("""COMPUTED_VALUE"""),"Manager")</f>
        <v>Manager</v>
      </c>
      <c r="O29" s="141" t="str">
        <f>IFERROR(__xludf.DUMMYFUNCTION("""COMPUTED_VALUE"""),"Beginner + Intermediate")</f>
        <v>Beginner + Intermediate</v>
      </c>
      <c r="P29" s="143">
        <f>IFERROR(__xludf.DUMMYFUNCTION("""COMPUTED_VALUE"""),0.03754629629629629)</f>
        <v>0.0375462963</v>
      </c>
      <c r="Q29" s="151"/>
      <c r="R29" s="140"/>
      <c r="S29" s="140"/>
    </row>
    <row r="30" ht="33.75" customHeight="1">
      <c r="A30" s="140"/>
      <c r="B30" s="140"/>
      <c r="C30" s="147">
        <f>IFERROR(__xludf.DUMMYFUNCTION("""COMPUTED_VALUE"""),183682.0)</f>
        <v>183682</v>
      </c>
      <c r="D30" s="148" t="str">
        <f>IFERROR(__xludf.DUMMYFUNCTION("""COMPUTED_VALUE"""),"Strategic Planning Foundations")</f>
        <v>Strategic Planning Foundations</v>
      </c>
      <c r="E30" s="147" t="str">
        <f>IFERROR(__xludf.DUMMYFUNCTION("""COMPUTED_VALUE"""),"Senior Manager")</f>
        <v>Senior Manager</v>
      </c>
      <c r="F30" s="141" t="str">
        <f>IFERROR(__xludf.DUMMYFUNCTION("""COMPUTED_VALUE"""),"Intermediate")</f>
        <v>Intermediate</v>
      </c>
      <c r="G30" s="143">
        <f>IFERROR(__xludf.DUMMYFUNCTION("""COMPUTED_VALUE"""),0.05762731481481481)</f>
        <v>0.05762731481</v>
      </c>
      <c r="H30" s="151"/>
      <c r="I30" s="140"/>
      <c r="J30" s="140"/>
      <c r="K30" s="140"/>
      <c r="L30" s="147">
        <f>IFERROR(__xludf.DUMMYFUNCTION("""COMPUTED_VALUE"""),5015861.0)</f>
        <v>5015861</v>
      </c>
      <c r="M30" s="148" t="str">
        <f>IFERROR(__xludf.DUMMYFUNCTION("""COMPUTED_VALUE"""),"Delivering Employee Feedback")</f>
        <v>Delivering Employee Feedback</v>
      </c>
      <c r="N30" s="147" t="str">
        <f>IFERROR(__xludf.DUMMYFUNCTION("""COMPUTED_VALUE"""),"Manager")</f>
        <v>Manager</v>
      </c>
      <c r="O30" s="141" t="str">
        <f>IFERROR(__xludf.DUMMYFUNCTION("""COMPUTED_VALUE"""),"Beginner + Intermediate")</f>
        <v>Beginner + Intermediate</v>
      </c>
      <c r="P30" s="143">
        <f>IFERROR(__xludf.DUMMYFUNCTION("""COMPUTED_VALUE"""),0.01925925925925926)</f>
        <v>0.01925925926</v>
      </c>
      <c r="Q30" s="151"/>
      <c r="R30" s="140"/>
      <c r="S30" s="140"/>
    </row>
    <row r="31" ht="33.75" customHeight="1">
      <c r="A31" s="140"/>
      <c r="B31" s="140"/>
      <c r="C31" s="147">
        <f>IFERROR(__xludf.DUMMYFUNCTION("""COMPUTED_VALUE"""),2252216.0)</f>
        <v>2252216</v>
      </c>
      <c r="D31" s="148" t="str">
        <f>IFERROR(__xludf.DUMMYFUNCTION("""COMPUTED_VALUE"""),"Leading from the Middle")</f>
        <v>Leading from the Middle</v>
      </c>
      <c r="E31" s="147" t="str">
        <f>IFERROR(__xludf.DUMMYFUNCTION("""COMPUTED_VALUE"""),"Senior Manager")</f>
        <v>Senior Manager</v>
      </c>
      <c r="F31" s="141" t="str">
        <f>IFERROR(__xludf.DUMMYFUNCTION("""COMPUTED_VALUE"""),"Intermediate")</f>
        <v>Intermediate</v>
      </c>
      <c r="G31" s="143">
        <f>IFERROR(__xludf.DUMMYFUNCTION("""COMPUTED_VALUE"""),0.03420138888888889)</f>
        <v>0.03420138889</v>
      </c>
      <c r="H31" s="151"/>
      <c r="I31" s="140"/>
      <c r="J31" s="140"/>
      <c r="K31" s="140"/>
      <c r="L31" s="147">
        <f>IFERROR(__xludf.DUMMYFUNCTION("""COMPUTED_VALUE"""),3107152.0)</f>
        <v>3107152</v>
      </c>
      <c r="M31" s="148" t="str">
        <f>IFERROR(__xludf.DUMMYFUNCTION("""COMPUTED_VALUE"""),"Coaching New Hires")</f>
        <v>Coaching New Hires</v>
      </c>
      <c r="N31" s="147" t="str">
        <f>IFERROR(__xludf.DUMMYFUNCTION("""COMPUTED_VALUE"""),"Manager")</f>
        <v>Manager</v>
      </c>
      <c r="O31" s="141" t="str">
        <f>IFERROR(__xludf.DUMMYFUNCTION("""COMPUTED_VALUE"""),"Beginner + Intermediate")</f>
        <v>Beginner + Intermediate</v>
      </c>
      <c r="P31" s="143">
        <f>IFERROR(__xludf.DUMMYFUNCTION("""COMPUTED_VALUE"""),0.019710648148148147)</f>
        <v>0.01971064815</v>
      </c>
      <c r="Q31" s="151"/>
      <c r="R31" s="140"/>
      <c r="S31" s="140"/>
    </row>
    <row r="32" ht="33.75" customHeight="1">
      <c r="A32" s="140"/>
      <c r="B32" s="140"/>
      <c r="C32" s="147">
        <f>IFERROR(__xludf.DUMMYFUNCTION("""COMPUTED_VALUE"""),2823038.0)</f>
        <v>2823038</v>
      </c>
      <c r="D32" s="148" t="str">
        <f>IFERROR(__xludf.DUMMYFUNCTION("""COMPUTED_VALUE"""),"Strategic Planning: Case Studies")</f>
        <v>Strategic Planning: Case Studies</v>
      </c>
      <c r="E32" s="147" t="str">
        <f>IFERROR(__xludf.DUMMYFUNCTION("""COMPUTED_VALUE"""),"Senior Manager")</f>
        <v>Senior Manager</v>
      </c>
      <c r="F32" s="141" t="str">
        <f>IFERROR(__xludf.DUMMYFUNCTION("""COMPUTED_VALUE"""),"Intermediate")</f>
        <v>Intermediate</v>
      </c>
      <c r="G32" s="143">
        <f>IFERROR(__xludf.DUMMYFUNCTION("""COMPUTED_VALUE"""),0.02914351851851852)</f>
        <v>0.02914351852</v>
      </c>
      <c r="H32" s="151"/>
      <c r="I32" s="140"/>
      <c r="J32" s="140"/>
      <c r="K32" s="140"/>
      <c r="L32" s="147">
        <f>IFERROR(__xludf.DUMMYFUNCTION("""COMPUTED_VALUE"""),693069.0)</f>
        <v>693069</v>
      </c>
      <c r="M32" s="148" t="str">
        <f>IFERROR(__xludf.DUMMYFUNCTION("""COMPUTED_VALUE"""),"Delegating Tasks")</f>
        <v>Delegating Tasks</v>
      </c>
      <c r="N32" s="147" t="str">
        <f>IFERROR(__xludf.DUMMYFUNCTION("""COMPUTED_VALUE"""),"Manager")</f>
        <v>Manager</v>
      </c>
      <c r="O32" s="141" t="str">
        <f>IFERROR(__xludf.DUMMYFUNCTION("""COMPUTED_VALUE"""),"General")</f>
        <v>General</v>
      </c>
      <c r="P32" s="143">
        <f>IFERROR(__xludf.DUMMYFUNCTION("""COMPUTED_VALUE"""),0.024212962962962964)</f>
        <v>0.02421296296</v>
      </c>
      <c r="Q32" s="151"/>
      <c r="R32" s="140"/>
      <c r="S32" s="140"/>
    </row>
    <row r="33" ht="33.75" customHeight="1">
      <c r="A33" s="140"/>
      <c r="B33" s="140"/>
      <c r="C33" s="147">
        <f>IFERROR(__xludf.DUMMYFUNCTION("""COMPUTED_VALUE"""),2825455.0)</f>
        <v>2825455</v>
      </c>
      <c r="D33" s="148" t="str">
        <f>IFERROR(__xludf.DUMMYFUNCTION("""COMPUTED_VALUE"""),"Balancing Innovation and Risk")</f>
        <v>Balancing Innovation and Risk</v>
      </c>
      <c r="E33" s="147" t="str">
        <f>IFERROR(__xludf.DUMMYFUNCTION("""COMPUTED_VALUE"""),"Senior Manager")</f>
        <v>Senior Manager</v>
      </c>
      <c r="F33" s="141" t="str">
        <f>IFERROR(__xludf.DUMMYFUNCTION("""COMPUTED_VALUE"""),"Intermediate")</f>
        <v>Intermediate</v>
      </c>
      <c r="G33" s="143">
        <f>IFERROR(__xludf.DUMMYFUNCTION("""COMPUTED_VALUE"""),0.01962962962962963)</f>
        <v>0.01962962963</v>
      </c>
      <c r="H33" s="151"/>
      <c r="I33" s="140"/>
      <c r="J33" s="140"/>
      <c r="K33" s="140"/>
      <c r="L33" s="147">
        <f>IFERROR(__xludf.DUMMYFUNCTION("""COMPUTED_VALUE"""),167028.0)</f>
        <v>167028</v>
      </c>
      <c r="M33" s="148" t="str">
        <f>IFERROR(__xludf.DUMMYFUNCTION("""COMPUTED_VALUE"""),"Building High-Performance Teams")</f>
        <v>Building High-Performance Teams</v>
      </c>
      <c r="N33" s="147" t="str">
        <f>IFERROR(__xludf.DUMMYFUNCTION("""COMPUTED_VALUE"""),"Manager")</f>
        <v>Manager</v>
      </c>
      <c r="O33" s="141" t="str">
        <f>IFERROR(__xludf.DUMMYFUNCTION("""COMPUTED_VALUE"""),"Intermediate")</f>
        <v>Intermediate</v>
      </c>
      <c r="P33" s="143">
        <f>IFERROR(__xludf.DUMMYFUNCTION("""COMPUTED_VALUE"""),0.07655092592592593)</f>
        <v>0.07655092593</v>
      </c>
      <c r="Q33" s="151"/>
      <c r="R33" s="140"/>
      <c r="S33" s="140"/>
    </row>
    <row r="34" ht="33.75" customHeight="1">
      <c r="A34" s="140"/>
      <c r="B34" s="140"/>
      <c r="C34" s="147">
        <f>IFERROR(__xludf.DUMMYFUNCTION("""COMPUTED_VALUE"""),5015884.0)</f>
        <v>5015884</v>
      </c>
      <c r="D34" s="148" t="str">
        <f>IFERROR(__xludf.DUMMYFUNCTION("""COMPUTED_VALUE"""),"Scaling Up Excellence: Getting to More Without Settling for Less (Blinkist Summary)")</f>
        <v>Scaling Up Excellence: Getting to More Without Settling for Less (Blinkist Summary)</v>
      </c>
      <c r="E34" s="147" t="str">
        <f>IFERROR(__xludf.DUMMYFUNCTION("""COMPUTED_VALUE"""),"Senior Manager")</f>
        <v>Senior Manager</v>
      </c>
      <c r="F34" s="141" t="str">
        <f>IFERROR(__xludf.DUMMYFUNCTION("""COMPUTED_VALUE"""),"Intermediate")</f>
        <v>Intermediate</v>
      </c>
      <c r="G34" s="143">
        <f>IFERROR(__xludf.DUMMYFUNCTION("""COMPUTED_VALUE"""),0.012893518518518518)</f>
        <v>0.01289351852</v>
      </c>
      <c r="H34" s="151"/>
      <c r="I34" s="140"/>
      <c r="J34" s="140"/>
      <c r="K34" s="140"/>
      <c r="L34" s="147">
        <f>IFERROR(__xludf.DUMMYFUNCTION("""COMPUTED_VALUE"""),592488.0)</f>
        <v>592488</v>
      </c>
      <c r="M34" s="148" t="str">
        <f>IFERROR(__xludf.DUMMYFUNCTION("""COMPUTED_VALUE"""),"Coaching for Results")</f>
        <v>Coaching for Results</v>
      </c>
      <c r="N34" s="147" t="str">
        <f>IFERROR(__xludf.DUMMYFUNCTION("""COMPUTED_VALUE"""),"Manager")</f>
        <v>Manager</v>
      </c>
      <c r="O34" s="141" t="str">
        <f>IFERROR(__xludf.DUMMYFUNCTION("""COMPUTED_VALUE"""),"Intermediate")</f>
        <v>Intermediate</v>
      </c>
      <c r="P34" s="143">
        <f>IFERROR(__xludf.DUMMYFUNCTION("""COMPUTED_VALUE"""),0.04165509259259259)</f>
        <v>0.04165509259</v>
      </c>
      <c r="Q34" s="151"/>
      <c r="R34" s="140"/>
      <c r="S34" s="140"/>
    </row>
    <row r="35" ht="33.75" customHeight="1">
      <c r="A35" s="140"/>
      <c r="B35" s="140"/>
      <c r="C35" s="147">
        <f>IFERROR(__xludf.DUMMYFUNCTION("""COMPUTED_VALUE"""),784282.0)</f>
        <v>784282</v>
      </c>
      <c r="D35" s="148" t="str">
        <f>IFERROR(__xludf.DUMMYFUNCTION("""COMPUTED_VALUE"""),"Strategic Focus for Managers")</f>
        <v>Strategic Focus for Managers</v>
      </c>
      <c r="E35" s="147" t="str">
        <f>IFERROR(__xludf.DUMMYFUNCTION("""COMPUTED_VALUE"""),"Senior Manager")</f>
        <v>Senior Manager</v>
      </c>
      <c r="F35" s="141" t="str">
        <f>IFERROR(__xludf.DUMMYFUNCTION("""COMPUTED_VALUE"""),"Intermediate")</f>
        <v>Intermediate</v>
      </c>
      <c r="G35" s="143">
        <f>IFERROR(__xludf.DUMMYFUNCTION("""COMPUTED_VALUE"""),0.02167824074074074)</f>
        <v>0.02167824074</v>
      </c>
      <c r="H35" s="151"/>
      <c r="I35" s="140"/>
      <c r="J35" s="140"/>
      <c r="K35" s="140"/>
      <c r="L35" s="147">
        <f>IFERROR(__xludf.DUMMYFUNCTION("""COMPUTED_VALUE"""),645011.0)</f>
        <v>645011</v>
      </c>
      <c r="M35" s="148" t="str">
        <f>IFERROR(__xludf.DUMMYFUNCTION("""COMPUTED_VALUE"""),"Coaching Employees through Difficult Situations")</f>
        <v>Coaching Employees through Difficult Situations</v>
      </c>
      <c r="N35" s="147" t="str">
        <f>IFERROR(__xludf.DUMMYFUNCTION("""COMPUTED_VALUE"""),"Manager")</f>
        <v>Manager</v>
      </c>
      <c r="O35" s="141" t="str">
        <f>IFERROR(__xludf.DUMMYFUNCTION("""COMPUTED_VALUE"""),"Intermediate")</f>
        <v>Intermediate</v>
      </c>
      <c r="P35" s="143">
        <f>IFERROR(__xludf.DUMMYFUNCTION("""COMPUTED_VALUE"""),0.032824074074074075)</f>
        <v>0.03282407407</v>
      </c>
      <c r="Q35" s="151"/>
      <c r="R35" s="140"/>
      <c r="S35" s="140"/>
    </row>
    <row r="36" ht="33.75" customHeight="1">
      <c r="A36" s="140"/>
      <c r="B36" s="140"/>
      <c r="C36" s="147">
        <f>IFERROR(__xludf.DUMMYFUNCTION("""COMPUTED_VALUE"""),5015866.0)</f>
        <v>5015866</v>
      </c>
      <c r="D36" s="148" t="str">
        <f>IFERROR(__xludf.DUMMYFUNCTION("""COMPUTED_VALUE"""),"Blue Ocean Shift: Beyond Competing (Blinkist Summary)")</f>
        <v>Blue Ocean Shift: Beyond Competing (Blinkist Summary)</v>
      </c>
      <c r="E36" s="147" t="str">
        <f>IFERROR(__xludf.DUMMYFUNCTION("""COMPUTED_VALUE"""),"Senior Manager")</f>
        <v>Senior Manager</v>
      </c>
      <c r="F36" s="141" t="str">
        <f>IFERROR(__xludf.DUMMYFUNCTION("""COMPUTED_VALUE"""),"Intermediate")</f>
        <v>Intermediate</v>
      </c>
      <c r="G36" s="143">
        <f>IFERROR(__xludf.DUMMYFUNCTION("""COMPUTED_VALUE"""),0.016747685185185185)</f>
        <v>0.01674768519</v>
      </c>
      <c r="H36" s="151"/>
      <c r="I36" s="140"/>
      <c r="J36" s="140"/>
      <c r="K36" s="140"/>
      <c r="L36" s="147">
        <f>IFERROR(__xludf.DUMMYFUNCTION("""COMPUTED_VALUE"""),713373.0)</f>
        <v>713373</v>
      </c>
      <c r="M36" s="148" t="str">
        <f>IFERROR(__xludf.DUMMYFUNCTION("""COMPUTED_VALUE"""),"Coaching Skills for Leaders and Managers")</f>
        <v>Coaching Skills for Leaders and Managers</v>
      </c>
      <c r="N36" s="147" t="str">
        <f>IFERROR(__xludf.DUMMYFUNCTION("""COMPUTED_VALUE"""),"Manager")</f>
        <v>Manager</v>
      </c>
      <c r="O36" s="141" t="str">
        <f>IFERROR(__xludf.DUMMYFUNCTION("""COMPUTED_VALUE"""),"Intermediate")</f>
        <v>Intermediate</v>
      </c>
      <c r="P36" s="143">
        <f>IFERROR(__xludf.DUMMYFUNCTION("""COMPUTED_VALUE"""),0.023796296296296298)</f>
        <v>0.0237962963</v>
      </c>
      <c r="Q36" s="151"/>
      <c r="R36" s="140"/>
      <c r="S36" s="140"/>
    </row>
    <row r="37" ht="33.75" customHeight="1">
      <c r="A37" s="140"/>
      <c r="B37" s="140"/>
      <c r="C37" s="147">
        <f>IFERROR(__xludf.DUMMYFUNCTION("""COMPUTED_VALUE"""),791342.0)</f>
        <v>791342</v>
      </c>
      <c r="D37" s="148" t="str">
        <f>IFERROR(__xludf.DUMMYFUNCTION("""COMPUTED_VALUE"""),"Negotiating with Agility")</f>
        <v>Negotiating with Agility</v>
      </c>
      <c r="E37" s="147" t="str">
        <f>IFERROR(__xludf.DUMMYFUNCTION("""COMPUTED_VALUE"""),"Senior Manager")</f>
        <v>Senior Manager</v>
      </c>
      <c r="F37" s="141" t="str">
        <f>IFERROR(__xludf.DUMMYFUNCTION("""COMPUTED_VALUE"""),"Intermediate")</f>
        <v>Intermediate</v>
      </c>
      <c r="G37" s="143">
        <f>IFERROR(__xludf.DUMMYFUNCTION("""COMPUTED_VALUE"""),0.047060185185185184)</f>
        <v>0.04706018519</v>
      </c>
      <c r="H37" s="151"/>
      <c r="I37" s="140"/>
      <c r="J37" s="140"/>
      <c r="K37" s="140"/>
      <c r="L37" s="147">
        <f>IFERROR(__xludf.DUMMYFUNCTION("""COMPUTED_VALUE"""),737756.0)</f>
        <v>737756</v>
      </c>
      <c r="M37" s="148" t="str">
        <f>IFERROR(__xludf.DUMMYFUNCTION("""COMPUTED_VALUE"""),"Developing Your Team Members")</f>
        <v>Developing Your Team Members</v>
      </c>
      <c r="N37" s="147" t="str">
        <f>IFERROR(__xludf.DUMMYFUNCTION("""COMPUTED_VALUE"""),"Manager")</f>
        <v>Manager</v>
      </c>
      <c r="O37" s="141" t="str">
        <f>IFERROR(__xludf.DUMMYFUNCTION("""COMPUTED_VALUE"""),"Intermediate")</f>
        <v>Intermediate</v>
      </c>
      <c r="P37" s="143">
        <f>IFERROR(__xludf.DUMMYFUNCTION("""COMPUTED_VALUE"""),0.03671296296296296)</f>
        <v>0.03671296296</v>
      </c>
      <c r="Q37" s="151"/>
      <c r="R37" s="140"/>
      <c r="S37" s="140"/>
    </row>
    <row r="38" ht="33.75" customHeight="1">
      <c r="A38" s="140"/>
      <c r="B38" s="140"/>
      <c r="C38" s="147">
        <f>IFERROR(__xludf.DUMMYFUNCTION("""COMPUTED_VALUE"""),2876118.0)</f>
        <v>2876118</v>
      </c>
      <c r="D38" s="148" t="str">
        <f>IFERROR(__xludf.DUMMYFUNCTION("""COMPUTED_VALUE"""),"Business Leadership, Social Change, and Movements")</f>
        <v>Business Leadership, Social Change, and Movements</v>
      </c>
      <c r="E38" s="147" t="str">
        <f>IFERROR(__xludf.DUMMYFUNCTION("""COMPUTED_VALUE"""),"Senior Manager")</f>
        <v>Senior Manager</v>
      </c>
      <c r="F38" s="141" t="str">
        <f>IFERROR(__xludf.DUMMYFUNCTION("""COMPUTED_VALUE"""),"Intermediate")</f>
        <v>Intermediate</v>
      </c>
      <c r="G38" s="143">
        <f>IFERROR(__xludf.DUMMYFUNCTION("""COMPUTED_VALUE"""),0.04697916666666667)</f>
        <v>0.04697916667</v>
      </c>
      <c r="H38" s="151"/>
      <c r="I38" s="140"/>
      <c r="J38" s="140"/>
      <c r="K38" s="140"/>
      <c r="L38" s="147">
        <f>IFERROR(__xludf.DUMMYFUNCTION("""COMPUTED_VALUE"""),746305.0)</f>
        <v>746305</v>
      </c>
      <c r="M38" s="148" t="str">
        <f>IFERROR(__xludf.DUMMYFUNCTION("""COMPUTED_VALUE"""),"Managing Employee Performance Problems")</f>
        <v>Managing Employee Performance Problems</v>
      </c>
      <c r="N38" s="147" t="str">
        <f>IFERROR(__xludf.DUMMYFUNCTION("""COMPUTED_VALUE"""),"Manager")</f>
        <v>Manager</v>
      </c>
      <c r="O38" s="141" t="str">
        <f>IFERROR(__xludf.DUMMYFUNCTION("""COMPUTED_VALUE"""),"Intermediate")</f>
        <v>Intermediate</v>
      </c>
      <c r="P38" s="143">
        <f>IFERROR(__xludf.DUMMYFUNCTION("""COMPUTED_VALUE"""),0.04052083333333333)</f>
        <v>0.04052083333</v>
      </c>
      <c r="Q38" s="151"/>
      <c r="R38" s="140"/>
      <c r="S38" s="140"/>
    </row>
    <row r="39" ht="33.75" customHeight="1">
      <c r="A39" s="140"/>
      <c r="B39" s="140"/>
      <c r="C39" s="147">
        <f>IFERROR(__xludf.DUMMYFUNCTION("""COMPUTED_VALUE"""),2890073.0)</f>
        <v>2890073</v>
      </c>
      <c r="D39" s="148" t="str">
        <f>IFERROR(__xludf.DUMMYFUNCTION("""COMPUTED_VALUE"""),"Planning for the Remote-First, Work-from-Anywhere Organization")</f>
        <v>Planning for the Remote-First, Work-from-Anywhere Organization</v>
      </c>
      <c r="E39" s="147" t="str">
        <f>IFERROR(__xludf.DUMMYFUNCTION("""COMPUTED_VALUE"""),"Senior Manager")</f>
        <v>Senior Manager</v>
      </c>
      <c r="F39" s="141" t="str">
        <f>IFERROR(__xludf.DUMMYFUNCTION("""COMPUTED_VALUE"""),"Intermediate")</f>
        <v>Intermediate</v>
      </c>
      <c r="G39" s="143">
        <f>IFERROR(__xludf.DUMMYFUNCTION("""COMPUTED_VALUE"""),0.01650462962962963)</f>
        <v>0.01650462963</v>
      </c>
      <c r="H39" s="151"/>
      <c r="I39" s="140"/>
      <c r="J39" s="140"/>
      <c r="K39" s="140"/>
      <c r="L39" s="147">
        <f>IFERROR(__xludf.DUMMYFUNCTION("""COMPUTED_VALUE"""),758620.0)</f>
        <v>758620</v>
      </c>
      <c r="M39" s="148" t="str">
        <f>IFERROR(__xludf.DUMMYFUNCTION("""COMPUTED_VALUE"""),"Persuasive Coaching")</f>
        <v>Persuasive Coaching</v>
      </c>
      <c r="N39" s="147" t="str">
        <f>IFERROR(__xludf.DUMMYFUNCTION("""COMPUTED_VALUE"""),"Manager")</f>
        <v>Manager</v>
      </c>
      <c r="O39" s="141" t="str">
        <f>IFERROR(__xludf.DUMMYFUNCTION("""COMPUTED_VALUE"""),"Intermediate")</f>
        <v>Intermediate</v>
      </c>
      <c r="P39" s="143">
        <f>IFERROR(__xludf.DUMMYFUNCTION("""COMPUTED_VALUE"""),0.02994212962962963)</f>
        <v>0.02994212963</v>
      </c>
      <c r="Q39" s="151"/>
      <c r="R39" s="140"/>
      <c r="S39" s="140"/>
    </row>
    <row r="40" ht="33.75" customHeight="1">
      <c r="A40" s="140"/>
      <c r="B40" s="140"/>
      <c r="C40" s="147">
        <f>IFERROR(__xludf.DUMMYFUNCTION("""COMPUTED_VALUE"""),688507.0)</f>
        <v>688507</v>
      </c>
      <c r="D40" s="148" t="str">
        <f>IFERROR(__xludf.DUMMYFUNCTION("""COMPUTED_VALUE"""),"Management Foundations: Advanced Applications")</f>
        <v>Management Foundations: Advanced Applications</v>
      </c>
      <c r="E40" s="147" t="str">
        <f>IFERROR(__xludf.DUMMYFUNCTION("""COMPUTED_VALUE"""),"Senior Manager")</f>
        <v>Senior Manager</v>
      </c>
      <c r="F40" s="141" t="str">
        <f>IFERROR(__xludf.DUMMYFUNCTION("""COMPUTED_VALUE"""),"General")</f>
        <v>General</v>
      </c>
      <c r="G40" s="143">
        <f>IFERROR(__xludf.DUMMYFUNCTION("""COMPUTED_VALUE"""),0.056608796296296296)</f>
        <v>0.0566087963</v>
      </c>
      <c r="H40" s="151"/>
      <c r="I40" s="140"/>
      <c r="J40" s="140"/>
      <c r="K40" s="140"/>
      <c r="L40" s="147">
        <f>IFERROR(__xludf.DUMMYFUNCTION("""COMPUTED_VALUE"""),711794.0)</f>
        <v>711794</v>
      </c>
      <c r="M40" s="148" t="str">
        <f>IFERROR(__xludf.DUMMYFUNCTION("""COMPUTED_VALUE"""),"Connecting with Executives")</f>
        <v>Connecting with Executives</v>
      </c>
      <c r="N40" s="147" t="str">
        <f>IFERROR(__xludf.DUMMYFUNCTION("""COMPUTED_VALUE"""),"Manager")</f>
        <v>Manager</v>
      </c>
      <c r="O40" s="141" t="str">
        <f>IFERROR(__xludf.DUMMYFUNCTION("""COMPUTED_VALUE"""),"Intermediate")</f>
        <v>Intermediate</v>
      </c>
      <c r="P40" s="143">
        <f>IFERROR(__xludf.DUMMYFUNCTION("""COMPUTED_VALUE"""),0.030208333333333334)</f>
        <v>0.03020833333</v>
      </c>
      <c r="Q40" s="151"/>
      <c r="R40" s="140"/>
      <c r="S40" s="140"/>
    </row>
    <row r="41" ht="33.75" customHeight="1">
      <c r="A41" s="140"/>
      <c r="B41" s="140"/>
      <c r="C41" s="147">
        <f>IFERROR(__xludf.DUMMYFUNCTION("""COMPUTED_VALUE"""),3004946.0)</f>
        <v>3004946</v>
      </c>
      <c r="D41" s="148" t="str">
        <f>IFERROR(__xludf.DUMMYFUNCTION("""COMPUTED_VALUE"""),"How to Be More Strategic in Six Steps")</f>
        <v>How to Be More Strategic in Six Steps</v>
      </c>
      <c r="E41" s="147" t="str">
        <f>IFERROR(__xludf.DUMMYFUNCTION("""COMPUTED_VALUE"""),"Manager")</f>
        <v>Manager</v>
      </c>
      <c r="F41" s="141" t="str">
        <f>IFERROR(__xludf.DUMMYFUNCTION("""COMPUTED_VALUE"""),"Beginner")</f>
        <v>Beginner</v>
      </c>
      <c r="G41" s="143">
        <f>IFERROR(__xludf.DUMMYFUNCTION("""COMPUTED_VALUE"""),0.01615740740740741)</f>
        <v>0.01615740741</v>
      </c>
      <c r="H41" s="151"/>
      <c r="I41" s="140"/>
      <c r="J41" s="140"/>
      <c r="K41" s="140"/>
      <c r="L41" s="147">
        <f>IFERROR(__xludf.DUMMYFUNCTION("""COMPUTED_VALUE"""),2887215.0)</f>
        <v>2887215</v>
      </c>
      <c r="M41" s="148" t="str">
        <f>IFERROR(__xludf.DUMMYFUNCTION("""COMPUTED_VALUE"""),"Sales Leadership: Building a Thriving Coaching Culture")</f>
        <v>Sales Leadership: Building a Thriving Coaching Culture</v>
      </c>
      <c r="N41" s="147" t="str">
        <f>IFERROR(__xludf.DUMMYFUNCTION("""COMPUTED_VALUE"""),"Manager")</f>
        <v>Manager</v>
      </c>
      <c r="O41" s="141" t="str">
        <f>IFERROR(__xludf.DUMMYFUNCTION("""COMPUTED_VALUE"""),"Intermediate")</f>
        <v>Intermediate</v>
      </c>
      <c r="P41" s="143">
        <f>IFERROR(__xludf.DUMMYFUNCTION("""COMPUTED_VALUE"""),0.048935185185185186)</f>
        <v>0.04893518519</v>
      </c>
      <c r="Q41" s="151"/>
      <c r="R41" s="140"/>
      <c r="S41" s="140"/>
    </row>
    <row r="42" ht="33.75" customHeight="1">
      <c r="A42" s="140"/>
      <c r="B42" s="140"/>
      <c r="C42" s="147">
        <f>IFERROR(__xludf.DUMMYFUNCTION("""COMPUTED_VALUE"""),698662.0)</f>
        <v>698662</v>
      </c>
      <c r="D42" s="148" t="str">
        <f>IFERROR(__xludf.DUMMYFUNCTION("""COMPUTED_VALUE"""),"Business Law for Managers")</f>
        <v>Business Law for Managers</v>
      </c>
      <c r="E42" s="147" t="str">
        <f>IFERROR(__xludf.DUMMYFUNCTION("""COMPUTED_VALUE"""),"Manager")</f>
        <v>Manager</v>
      </c>
      <c r="F42" s="141" t="str">
        <f>IFERROR(__xludf.DUMMYFUNCTION("""COMPUTED_VALUE"""),"Beginner + Intermediate")</f>
        <v>Beginner + Intermediate</v>
      </c>
      <c r="G42" s="143">
        <f>IFERROR(__xludf.DUMMYFUNCTION("""COMPUTED_VALUE"""),0.03914351851851852)</f>
        <v>0.03914351852</v>
      </c>
      <c r="H42" s="151"/>
      <c r="I42" s="140"/>
      <c r="J42" s="140"/>
      <c r="K42" s="140"/>
      <c r="L42" s="147">
        <f>IFERROR(__xludf.DUMMYFUNCTION("""COMPUTED_VALUE"""),2825160.0)</f>
        <v>2825160</v>
      </c>
      <c r="M42" s="148" t="str">
        <f>IFERROR(__xludf.DUMMYFUNCTION("""COMPUTED_VALUE"""),"Make the Move from Individual Contributor to Manager")</f>
        <v>Make the Move from Individual Contributor to Manager</v>
      </c>
      <c r="N42" s="147" t="str">
        <f>IFERROR(__xludf.DUMMYFUNCTION("""COMPUTED_VALUE"""),"Individual Contributor")</f>
        <v>Individual Contributor</v>
      </c>
      <c r="O42" s="141" t="str">
        <f>IFERROR(__xludf.DUMMYFUNCTION("""COMPUTED_VALUE"""),"Beginner")</f>
        <v>Beginner</v>
      </c>
      <c r="P42" s="143">
        <f>IFERROR(__xludf.DUMMYFUNCTION("""COMPUTED_VALUE"""),0.027916666666666666)</f>
        <v>0.02791666667</v>
      </c>
      <c r="Q42" s="151"/>
      <c r="R42" s="140"/>
      <c r="S42" s="140"/>
    </row>
    <row r="43" ht="33.75" customHeight="1">
      <c r="A43" s="140"/>
      <c r="B43" s="140"/>
      <c r="C43" s="147">
        <f>IFERROR(__xludf.DUMMYFUNCTION("""COMPUTED_VALUE"""),2848048.0)</f>
        <v>2848048</v>
      </c>
      <c r="D43" s="148" t="str">
        <f>IFERROR(__xludf.DUMMYFUNCTION("""COMPUTED_VALUE"""),"Everything as a Service (XaaS) is the Future of Business")</f>
        <v>Everything as a Service (XaaS) is the Future of Business</v>
      </c>
      <c r="E43" s="147" t="str">
        <f>IFERROR(__xludf.DUMMYFUNCTION("""COMPUTED_VALUE"""),"Manager")</f>
        <v>Manager</v>
      </c>
      <c r="F43" s="141" t="str">
        <f>IFERROR(__xludf.DUMMYFUNCTION("""COMPUTED_VALUE"""),"Intermediate")</f>
        <v>Intermediate</v>
      </c>
      <c r="G43" s="143">
        <f>IFERROR(__xludf.DUMMYFUNCTION("""COMPUTED_VALUE"""),0.030185185185185186)</f>
        <v>0.03018518519</v>
      </c>
      <c r="H43" s="151"/>
      <c r="I43" s="140"/>
      <c r="J43" s="140"/>
      <c r="K43" s="140"/>
      <c r="L43" s="147">
        <f>IFERROR(__xludf.DUMMYFUNCTION("""COMPUTED_VALUE"""),2880061.0)</f>
        <v>2880061</v>
      </c>
      <c r="M43" s="148" t="str">
        <f>IFERROR(__xludf.DUMMYFUNCTION("""COMPUTED_VALUE"""),"Become a Better Coach for Your Team")</f>
        <v>Become a Better Coach for Your Team</v>
      </c>
      <c r="N43" s="147" t="str">
        <f>IFERROR(__xludf.DUMMYFUNCTION("""COMPUTED_VALUE"""),"Individual Contributor")</f>
        <v>Individual Contributor</v>
      </c>
      <c r="O43" s="141" t="str">
        <f>IFERROR(__xludf.DUMMYFUNCTION("""COMPUTED_VALUE"""),"Intermediate")</f>
        <v>Intermediate</v>
      </c>
      <c r="P43" s="143">
        <f>IFERROR(__xludf.DUMMYFUNCTION("""COMPUTED_VALUE"""),0.03815972222222222)</f>
        <v>0.03815972222</v>
      </c>
      <c r="Q43" s="151"/>
      <c r="R43" s="140"/>
      <c r="S43" s="140"/>
    </row>
    <row r="44" ht="33.75" customHeight="1">
      <c r="A44" s="140"/>
      <c r="B44" s="140"/>
      <c r="C44" s="147">
        <f>IFERROR(__xludf.DUMMYFUNCTION("""COMPUTED_VALUE"""),5015876.0)</f>
        <v>5015876</v>
      </c>
      <c r="D44" s="148" t="str">
        <f>IFERROR(__xludf.DUMMYFUNCTION("""COMPUTED_VALUE"""),"Multipliers: How the Best Leaders Make Everyone Smarter (Blinkist Summary)")</f>
        <v>Multipliers: How the Best Leaders Make Everyone Smarter (Blinkist Summary)</v>
      </c>
      <c r="E44" s="147" t="str">
        <f>IFERROR(__xludf.DUMMYFUNCTION("""COMPUTED_VALUE"""),"Manager")</f>
        <v>Manager</v>
      </c>
      <c r="F44" s="141" t="str">
        <f>IFERROR(__xludf.DUMMYFUNCTION("""COMPUTED_VALUE"""),"Intermediate")</f>
        <v>Intermediate</v>
      </c>
      <c r="G44" s="143">
        <f>IFERROR(__xludf.DUMMYFUNCTION("""COMPUTED_VALUE"""),0.016319444444444445)</f>
        <v>0.01631944444</v>
      </c>
      <c r="H44" s="151"/>
      <c r="I44" s="140"/>
      <c r="J44" s="140"/>
      <c r="K44" s="140"/>
      <c r="L44" s="147">
        <f>IFERROR(__xludf.DUMMYFUNCTION("""COMPUTED_VALUE"""),2812133.0)</f>
        <v>2812133</v>
      </c>
      <c r="M44" s="148" t="str">
        <f>IFERROR(__xludf.DUMMYFUNCTION("""COMPUTED_VALUE"""),"Using Neuroscience for More Effective L&amp;D")</f>
        <v>Using Neuroscience for More Effective L&amp;D</v>
      </c>
      <c r="N44" s="147" t="str">
        <f>IFERROR(__xludf.DUMMYFUNCTION("""COMPUTED_VALUE"""),"General")</f>
        <v>General</v>
      </c>
      <c r="O44" s="141" t="str">
        <f>IFERROR(__xludf.DUMMYFUNCTION("""COMPUTED_VALUE"""),"Advanced")</f>
        <v>Advanced</v>
      </c>
      <c r="P44" s="143">
        <f>IFERROR(__xludf.DUMMYFUNCTION("""COMPUTED_VALUE"""),0.047546296296296295)</f>
        <v>0.0475462963</v>
      </c>
      <c r="Q44" s="151"/>
      <c r="R44" s="140"/>
      <c r="S44" s="140"/>
    </row>
    <row r="45" ht="33.75" customHeight="1">
      <c r="A45" s="140"/>
      <c r="B45" s="140"/>
      <c r="C45" s="147">
        <f>IFERROR(__xludf.DUMMYFUNCTION("""COMPUTED_VALUE"""),693074.0)</f>
        <v>693074</v>
      </c>
      <c r="D45" s="148" t="str">
        <f>IFERROR(__xludf.DUMMYFUNCTION("""COMPUTED_VALUE"""),"Retail Sales Management")</f>
        <v>Retail Sales Management</v>
      </c>
      <c r="E45" s="147" t="str">
        <f>IFERROR(__xludf.DUMMYFUNCTION("""COMPUTED_VALUE"""),"Manager")</f>
        <v>Manager</v>
      </c>
      <c r="F45" s="141" t="str">
        <f>IFERROR(__xludf.DUMMYFUNCTION("""COMPUTED_VALUE"""),"Intermediate")</f>
        <v>Intermediate</v>
      </c>
      <c r="G45" s="143">
        <f>IFERROR(__xludf.DUMMYFUNCTION("""COMPUTED_VALUE"""),0.019791666666666666)</f>
        <v>0.01979166667</v>
      </c>
      <c r="H45" s="151"/>
      <c r="I45" s="140"/>
      <c r="J45" s="140"/>
      <c r="K45" s="140"/>
      <c r="L45" s="147">
        <f>IFERROR(__xludf.DUMMYFUNCTION("""COMPUTED_VALUE"""),2829005.0)</f>
        <v>2829005</v>
      </c>
      <c r="M45" s="148" t="str">
        <f>IFERROR(__xludf.DUMMYFUNCTION("""COMPUTED_VALUE"""),"Using Assessments to Hire Customer Service Reps")</f>
        <v>Using Assessments to Hire Customer Service Reps</v>
      </c>
      <c r="N45" s="147" t="str">
        <f>IFERROR(__xludf.DUMMYFUNCTION("""COMPUTED_VALUE"""),"General")</f>
        <v>General</v>
      </c>
      <c r="O45" s="141" t="str">
        <f>IFERROR(__xludf.DUMMYFUNCTION("""COMPUTED_VALUE"""),"Advanced")</f>
        <v>Advanced</v>
      </c>
      <c r="P45" s="143">
        <f>IFERROR(__xludf.DUMMYFUNCTION("""COMPUTED_VALUE"""),0.024479166666666666)</f>
        <v>0.02447916667</v>
      </c>
      <c r="Q45" s="151"/>
      <c r="R45" s="140"/>
      <c r="S45" s="140"/>
    </row>
    <row r="46" ht="33.75" customHeight="1">
      <c r="A46" s="140"/>
      <c r="B46" s="140"/>
      <c r="C46" s="147">
        <f>IFERROR(__xludf.DUMMYFUNCTION("""COMPUTED_VALUE"""),197201.0)</f>
        <v>197201</v>
      </c>
      <c r="D46" s="148" t="str">
        <f>IFERROR(__xludf.DUMMYFUNCTION("""COMPUTED_VALUE"""),"Developing Executive Presence")</f>
        <v>Developing Executive Presence</v>
      </c>
      <c r="E46" s="147" t="str">
        <f>IFERROR(__xludf.DUMMYFUNCTION("""COMPUTED_VALUE"""),"Manager")</f>
        <v>Manager</v>
      </c>
      <c r="F46" s="141" t="str">
        <f>IFERROR(__xludf.DUMMYFUNCTION("""COMPUTED_VALUE"""),"Intermediate")</f>
        <v>Intermediate</v>
      </c>
      <c r="G46" s="143">
        <f>IFERROR(__xludf.DUMMYFUNCTION("""COMPUTED_VALUE"""),0.05016203703703704)</f>
        <v>0.05016203704</v>
      </c>
      <c r="H46" s="151"/>
      <c r="I46" s="140"/>
      <c r="J46" s="140"/>
      <c r="K46" s="140"/>
      <c r="L46" s="147">
        <f>IFERROR(__xludf.DUMMYFUNCTION("""COMPUTED_VALUE"""),2825747.0)</f>
        <v>2825747</v>
      </c>
      <c r="M46" s="148" t="str">
        <f>IFERROR(__xludf.DUMMYFUNCTION("""COMPUTED_VALUE"""),"Women Transforming Tech: Tips for Career Success")</f>
        <v>Women Transforming Tech: Tips for Career Success</v>
      </c>
      <c r="N46" s="147" t="str">
        <f>IFERROR(__xludf.DUMMYFUNCTION("""COMPUTED_VALUE"""),"General")</f>
        <v>General</v>
      </c>
      <c r="O46" s="141" t="str">
        <f>IFERROR(__xludf.DUMMYFUNCTION("""COMPUTED_VALUE"""),"Beginner")</f>
        <v>Beginner</v>
      </c>
      <c r="P46" s="143">
        <f>IFERROR(__xludf.DUMMYFUNCTION("""COMPUTED_VALUE"""),0.01545138888888889)</f>
        <v>0.01545138889</v>
      </c>
      <c r="Q46" s="151"/>
      <c r="R46" s="140"/>
      <c r="S46" s="140"/>
    </row>
    <row r="47" ht="33.75" customHeight="1">
      <c r="A47" s="140"/>
      <c r="B47" s="140"/>
      <c r="C47" s="147">
        <f>IFERROR(__xludf.DUMMYFUNCTION("""COMPUTED_VALUE"""),2894117.0)</f>
        <v>2894117</v>
      </c>
      <c r="D47" s="148" t="str">
        <f>IFERROR(__xludf.DUMMYFUNCTION("""COMPUTED_VALUE"""),"Change Management Tips for Leaders")</f>
        <v>Change Management Tips for Leaders</v>
      </c>
      <c r="E47" s="147" t="str">
        <f>IFERROR(__xludf.DUMMYFUNCTION("""COMPUTED_VALUE"""),"Manager")</f>
        <v>Manager</v>
      </c>
      <c r="F47" s="141" t="str">
        <f>IFERROR(__xludf.DUMMYFUNCTION("""COMPUTED_VALUE"""),"Intermediate")</f>
        <v>Intermediate</v>
      </c>
      <c r="G47" s="143">
        <f>IFERROR(__xludf.DUMMYFUNCTION("""COMPUTED_VALUE"""),0.011585648148148149)</f>
        <v>0.01158564815</v>
      </c>
      <c r="H47" s="151"/>
      <c r="I47" s="140"/>
      <c r="J47" s="140"/>
      <c r="K47" s="140"/>
      <c r="L47" s="147">
        <f>IFERROR(__xludf.DUMMYFUNCTION("""COMPUTED_VALUE"""),721895.0)</f>
        <v>721895</v>
      </c>
      <c r="M47" s="148" t="str">
        <f>IFERROR(__xludf.DUMMYFUNCTION("""COMPUTED_VALUE"""),"Foundations of Corporate Training")</f>
        <v>Foundations of Corporate Training</v>
      </c>
      <c r="N47" s="147" t="str">
        <f>IFERROR(__xludf.DUMMYFUNCTION("""COMPUTED_VALUE"""),"General")</f>
        <v>General</v>
      </c>
      <c r="O47" s="141" t="str">
        <f>IFERROR(__xludf.DUMMYFUNCTION("""COMPUTED_VALUE"""),"Beginner")</f>
        <v>Beginner</v>
      </c>
      <c r="P47" s="143">
        <f>IFERROR(__xludf.DUMMYFUNCTION("""COMPUTED_VALUE"""),0.04672453703703704)</f>
        <v>0.04672453704</v>
      </c>
      <c r="Q47" s="151"/>
      <c r="R47" s="140"/>
      <c r="S47" s="140"/>
    </row>
    <row r="48" ht="33.75" customHeight="1">
      <c r="A48" s="140"/>
      <c r="B48" s="140"/>
      <c r="C48" s="147">
        <f>IFERROR(__xludf.DUMMYFUNCTION("""COMPUTED_VALUE"""),2243043.0)</f>
        <v>2243043</v>
      </c>
      <c r="D48" s="148" t="str">
        <f>IFERROR(__xludf.DUMMYFUNCTION("""COMPUTED_VALUE"""),"The Secret: What Great Leaders Know and Do (getAbstract Summary)")</f>
        <v>The Secret: What Great Leaders Know and Do (getAbstract Summary)</v>
      </c>
      <c r="E48" s="147" t="str">
        <f>IFERROR(__xludf.DUMMYFUNCTION("""COMPUTED_VALUE"""),"Manager")</f>
        <v>Manager</v>
      </c>
      <c r="F48" s="141" t="str">
        <f>IFERROR(__xludf.DUMMYFUNCTION("""COMPUTED_VALUE"""),"General")</f>
        <v>General</v>
      </c>
      <c r="G48" s="143">
        <f>IFERROR(__xludf.DUMMYFUNCTION("""COMPUTED_VALUE"""),0.00525462962962963)</f>
        <v>0.00525462963</v>
      </c>
      <c r="H48" s="151"/>
      <c r="I48" s="140"/>
      <c r="J48" s="140"/>
      <c r="K48" s="140"/>
      <c r="L48" s="147">
        <f>IFERROR(__xludf.DUMMYFUNCTION("""COMPUTED_VALUE"""),2805907.0)</f>
        <v>2805907</v>
      </c>
      <c r="M48" s="148" t="str">
        <f>IFERROR(__xludf.DUMMYFUNCTION("""COMPUTED_VALUE"""),"Women Transforming Tech: Finding Sponsors")</f>
        <v>Women Transforming Tech: Finding Sponsors</v>
      </c>
      <c r="N48" s="147" t="str">
        <f>IFERROR(__xludf.DUMMYFUNCTION("""COMPUTED_VALUE"""),"General")</f>
        <v>General</v>
      </c>
      <c r="O48" s="141" t="str">
        <f>IFERROR(__xludf.DUMMYFUNCTION("""COMPUTED_VALUE"""),"Beginner")</f>
        <v>Beginner</v>
      </c>
      <c r="P48" s="143">
        <f>IFERROR(__xludf.DUMMYFUNCTION("""COMPUTED_VALUE"""),0.00949074074074074)</f>
        <v>0.009490740741</v>
      </c>
      <c r="Q48" s="151"/>
      <c r="R48" s="140"/>
      <c r="S48" s="140"/>
    </row>
    <row r="49" ht="33.75" customHeight="1">
      <c r="A49" s="140"/>
      <c r="B49" s="140"/>
      <c r="C49" s="147">
        <f>IFERROR(__xludf.DUMMYFUNCTION("""COMPUTED_VALUE"""),2876322.0)</f>
        <v>2876322</v>
      </c>
      <c r="D49" s="148" t="str">
        <f>IFERROR(__xludf.DUMMYFUNCTION("""COMPUTED_VALUE"""),"How to Become a Thought Leader and Advance Your Career")</f>
        <v>How to Become a Thought Leader and Advance Your Career</v>
      </c>
      <c r="E49" s="147" t="str">
        <f>IFERROR(__xludf.DUMMYFUNCTION("""COMPUTED_VALUE"""),"Individual Contributor")</f>
        <v>Individual Contributor</v>
      </c>
      <c r="F49" s="141" t="str">
        <f>IFERROR(__xludf.DUMMYFUNCTION("""COMPUTED_VALUE"""),"General")</f>
        <v>General</v>
      </c>
      <c r="G49" s="143">
        <f>IFERROR(__xludf.DUMMYFUNCTION("""COMPUTED_VALUE"""),0.029270833333333333)</f>
        <v>0.02927083333</v>
      </c>
      <c r="H49" s="151"/>
      <c r="I49" s="140"/>
      <c r="J49" s="140"/>
      <c r="K49" s="140"/>
      <c r="L49" s="147">
        <f>IFERROR(__xludf.DUMMYFUNCTION("""COMPUTED_VALUE"""),2807858.0)</f>
        <v>2807858</v>
      </c>
      <c r="M49" s="148" t="str">
        <f>IFERROR(__xludf.DUMMYFUNCTION("""COMPUTED_VALUE"""),"Women Transforming Tech: Getting Strategic with Your Career")</f>
        <v>Women Transforming Tech: Getting Strategic with Your Career</v>
      </c>
      <c r="N49" s="147" t="str">
        <f>IFERROR(__xludf.DUMMYFUNCTION("""COMPUTED_VALUE"""),"General")</f>
        <v>General</v>
      </c>
      <c r="O49" s="141" t="str">
        <f>IFERROR(__xludf.DUMMYFUNCTION("""COMPUTED_VALUE"""),"Beginner")</f>
        <v>Beginner</v>
      </c>
      <c r="P49" s="143">
        <f>IFERROR(__xludf.DUMMYFUNCTION("""COMPUTED_VALUE"""),0.011689814814814814)</f>
        <v>0.01168981481</v>
      </c>
      <c r="Q49" s="151"/>
      <c r="R49" s="140"/>
      <c r="S49" s="140"/>
    </row>
    <row r="50" ht="33.75" customHeight="1">
      <c r="A50" s="140"/>
      <c r="B50" s="140"/>
      <c r="C50" s="147">
        <f>IFERROR(__xludf.DUMMYFUNCTION("""COMPUTED_VALUE"""),794116.0)</f>
        <v>794116</v>
      </c>
      <c r="D50" s="148" t="str">
        <f>IFERROR(__xludf.DUMMYFUNCTION("""COMPUTED_VALUE"""),"Business Development: Strategic Planning")</f>
        <v>Business Development: Strategic Planning</v>
      </c>
      <c r="E50" s="147" t="str">
        <f>IFERROR(__xludf.DUMMYFUNCTION("""COMPUTED_VALUE"""),"General")</f>
        <v>General</v>
      </c>
      <c r="F50" s="141" t="str">
        <f>IFERROR(__xludf.DUMMYFUNCTION("""COMPUTED_VALUE"""),"Advanced")</f>
        <v>Advanced</v>
      </c>
      <c r="G50" s="143">
        <f>IFERROR(__xludf.DUMMYFUNCTION("""COMPUTED_VALUE"""),0.04314814814814815)</f>
        <v>0.04314814815</v>
      </c>
      <c r="H50" s="151"/>
      <c r="I50" s="140"/>
      <c r="J50" s="140"/>
      <c r="K50" s="140"/>
      <c r="L50" s="147">
        <f>IFERROR(__xludf.DUMMYFUNCTION("""COMPUTED_VALUE"""),3011646.0)</f>
        <v>3011646</v>
      </c>
      <c r="M50" s="148" t="str">
        <f>IFERROR(__xludf.DUMMYFUNCTION("""COMPUTED_VALUE"""),"Effective Sponsorship Across Difference (for Protégés)")</f>
        <v>Effective Sponsorship Across Difference (for Protégés)</v>
      </c>
      <c r="N50" s="147" t="str">
        <f>IFERROR(__xludf.DUMMYFUNCTION("""COMPUTED_VALUE"""),"General")</f>
        <v>General</v>
      </c>
      <c r="O50" s="141" t="str">
        <f>IFERROR(__xludf.DUMMYFUNCTION("""COMPUTED_VALUE"""),"Beginner")</f>
        <v>Beginner</v>
      </c>
      <c r="P50" s="143">
        <f>IFERROR(__xludf.DUMMYFUNCTION("""COMPUTED_VALUE"""),0.02652777777777778)</f>
        <v>0.02652777778</v>
      </c>
      <c r="Q50" s="151"/>
      <c r="R50" s="140"/>
      <c r="S50" s="140"/>
    </row>
    <row r="51" ht="33.75" customHeight="1">
      <c r="A51" s="140"/>
      <c r="B51" s="140"/>
      <c r="C51" s="147">
        <f>IFERROR(__xludf.DUMMYFUNCTION("""COMPUTED_VALUE"""),2823579.0)</f>
        <v>2823579</v>
      </c>
      <c r="D51" s="148" t="str">
        <f>IFERROR(__xludf.DUMMYFUNCTION("""COMPUTED_VALUE"""),"Adaptive Leadership for VUCA Challenges")</f>
        <v>Adaptive Leadership for VUCA Challenges</v>
      </c>
      <c r="E51" s="147" t="str">
        <f>IFERROR(__xludf.DUMMYFUNCTION("""COMPUTED_VALUE"""),"General")</f>
        <v>General</v>
      </c>
      <c r="F51" s="141" t="str">
        <f>IFERROR(__xludf.DUMMYFUNCTION("""COMPUTED_VALUE"""),"Advanced")</f>
        <v>Advanced</v>
      </c>
      <c r="G51" s="143">
        <f>IFERROR(__xludf.DUMMYFUNCTION("""COMPUTED_VALUE"""),0.022662037037037036)</f>
        <v>0.02266203704</v>
      </c>
      <c r="H51" s="151"/>
      <c r="I51" s="140"/>
      <c r="J51" s="140"/>
      <c r="K51" s="140"/>
      <c r="L51" s="147">
        <f>IFERROR(__xludf.DUMMYFUNCTION("""COMPUTED_VALUE"""),2453229.0)</f>
        <v>2453229</v>
      </c>
      <c r="M51" s="148" t="str">
        <f>IFERROR(__xludf.DUMMYFUNCTION("""COMPUTED_VALUE"""),"Becoming an Inspiring Mentor")</f>
        <v>Becoming an Inspiring Mentor</v>
      </c>
      <c r="N51" s="147" t="str">
        <f>IFERROR(__xludf.DUMMYFUNCTION("""COMPUTED_VALUE"""),"General")</f>
        <v>General</v>
      </c>
      <c r="O51" s="141" t="str">
        <f>IFERROR(__xludf.DUMMYFUNCTION("""COMPUTED_VALUE"""),"Beginner")</f>
        <v>Beginner</v>
      </c>
      <c r="P51" s="143">
        <f>IFERROR(__xludf.DUMMYFUNCTION("""COMPUTED_VALUE"""),0.03273148148148148)</f>
        <v>0.03273148148</v>
      </c>
      <c r="Q51" s="151"/>
      <c r="R51" s="140"/>
      <c r="S51" s="140"/>
    </row>
    <row r="52" ht="33.75" customHeight="1">
      <c r="A52" s="140"/>
      <c r="B52" s="140"/>
      <c r="C52" s="147">
        <f>IFERROR(__xludf.DUMMYFUNCTION("""COMPUTED_VALUE"""),630592.0)</f>
        <v>630592</v>
      </c>
      <c r="D52" s="148" t="str">
        <f>IFERROR(__xludf.DUMMYFUNCTION("""COMPUTED_VALUE"""),"Strategic Thinking")</f>
        <v>Strategic Thinking</v>
      </c>
      <c r="E52" s="147" t="str">
        <f>IFERROR(__xludf.DUMMYFUNCTION("""COMPUTED_VALUE"""),"General")</f>
        <v>General</v>
      </c>
      <c r="F52" s="141" t="str">
        <f>IFERROR(__xludf.DUMMYFUNCTION("""COMPUTED_VALUE"""),"Beginner")</f>
        <v>Beginner</v>
      </c>
      <c r="G52" s="143">
        <f>IFERROR(__xludf.DUMMYFUNCTION("""COMPUTED_VALUE"""),0.025185185185185185)</f>
        <v>0.02518518519</v>
      </c>
      <c r="H52" s="151"/>
      <c r="I52" s="140"/>
      <c r="J52" s="140"/>
      <c r="K52" s="140"/>
      <c r="L52" s="147">
        <f>IFERROR(__xludf.DUMMYFUNCTION("""COMPUTED_VALUE"""),2462123.0)</f>
        <v>2462123</v>
      </c>
      <c r="M52" s="148" t="str">
        <f>IFERROR(__xludf.DUMMYFUNCTION("""COMPUTED_VALUE"""),"Basketball Legend Bill Walton (Thirty Minute Mentors)")</f>
        <v>Basketball Legend Bill Walton (Thirty Minute Mentors)</v>
      </c>
      <c r="N52" s="147" t="str">
        <f>IFERROR(__xludf.DUMMYFUNCTION("""COMPUTED_VALUE"""),"General")</f>
        <v>General</v>
      </c>
      <c r="O52" s="141" t="str">
        <f>IFERROR(__xludf.DUMMYFUNCTION("""COMPUTED_VALUE"""),"Beginner")</f>
        <v>Beginner</v>
      </c>
      <c r="P52" s="143">
        <f>IFERROR(__xludf.DUMMYFUNCTION("""COMPUTED_VALUE"""),0.028969907407407406)</f>
        <v>0.02896990741</v>
      </c>
      <c r="Q52" s="151"/>
      <c r="R52" s="140"/>
      <c r="S52" s="140"/>
    </row>
    <row r="53" ht="33.75" customHeight="1">
      <c r="A53" s="140"/>
      <c r="B53" s="140"/>
      <c r="C53" s="147">
        <f>IFERROR(__xludf.DUMMYFUNCTION("""COMPUTED_VALUE"""),2814144.0)</f>
        <v>2814144</v>
      </c>
      <c r="D53" s="148" t="str">
        <f>IFERROR(__xludf.DUMMYFUNCTION("""COMPUTED_VALUE"""),"Defining and Segmenting Competition")</f>
        <v>Defining and Segmenting Competition</v>
      </c>
      <c r="E53" s="147" t="str">
        <f>IFERROR(__xludf.DUMMYFUNCTION("""COMPUTED_VALUE"""),"General")</f>
        <v>General</v>
      </c>
      <c r="F53" s="141" t="str">
        <f>IFERROR(__xludf.DUMMYFUNCTION("""COMPUTED_VALUE"""),"Beginner")</f>
        <v>Beginner</v>
      </c>
      <c r="G53" s="143">
        <f>IFERROR(__xludf.DUMMYFUNCTION("""COMPUTED_VALUE"""),0.022835648148148147)</f>
        <v>0.02283564815</v>
      </c>
      <c r="H53" s="151"/>
      <c r="I53" s="140"/>
      <c r="J53" s="140"/>
      <c r="K53" s="140"/>
      <c r="L53" s="147">
        <f>IFERROR(__xludf.DUMMYFUNCTION("""COMPUTED_VALUE"""),2822308.0)</f>
        <v>2822308</v>
      </c>
      <c r="M53" s="148" t="str">
        <f>IFERROR(__xludf.DUMMYFUNCTION("""COMPUTED_VALUE"""),"The Secrets to Success at Work")</f>
        <v>The Secrets to Success at Work</v>
      </c>
      <c r="N53" s="147" t="str">
        <f>IFERROR(__xludf.DUMMYFUNCTION("""COMPUTED_VALUE"""),"General")</f>
        <v>General</v>
      </c>
      <c r="O53" s="141" t="str">
        <f>IFERROR(__xludf.DUMMYFUNCTION("""COMPUTED_VALUE"""),"Beginner + Intermediate")</f>
        <v>Beginner + Intermediate</v>
      </c>
      <c r="P53" s="143">
        <f>IFERROR(__xludf.DUMMYFUNCTION("""COMPUTED_VALUE"""),0.024699074074074075)</f>
        <v>0.02469907407</v>
      </c>
      <c r="Q53" s="151"/>
      <c r="R53" s="140"/>
      <c r="S53" s="140"/>
    </row>
    <row r="54" ht="33.75" customHeight="1">
      <c r="A54" s="140"/>
      <c r="B54" s="140"/>
      <c r="C54" s="147">
        <f>IFERROR(__xludf.DUMMYFUNCTION("""COMPUTED_VALUE"""),2814147.0)</f>
        <v>2814147</v>
      </c>
      <c r="D54" s="148" t="str">
        <f>IFERROR(__xludf.DUMMYFUNCTION("""COMPUTED_VALUE"""),"Creating a Unique Competitive Advantage")</f>
        <v>Creating a Unique Competitive Advantage</v>
      </c>
      <c r="E54" s="147" t="str">
        <f>IFERROR(__xludf.DUMMYFUNCTION("""COMPUTED_VALUE"""),"General")</f>
        <v>General</v>
      </c>
      <c r="F54" s="141" t="str">
        <f>IFERROR(__xludf.DUMMYFUNCTION("""COMPUTED_VALUE"""),"Beginner")</f>
        <v>Beginner</v>
      </c>
      <c r="G54" s="143">
        <f>IFERROR(__xludf.DUMMYFUNCTION("""COMPUTED_VALUE"""),0.015601851851851851)</f>
        <v>0.01560185185</v>
      </c>
      <c r="H54" s="151"/>
      <c r="I54" s="140"/>
      <c r="J54" s="140"/>
      <c r="K54" s="140"/>
      <c r="L54" s="147">
        <f>IFERROR(__xludf.DUMMYFUNCTION("""COMPUTED_VALUE"""),2825489.0)</f>
        <v>2825489</v>
      </c>
      <c r="M54" s="148" t="str">
        <f>IFERROR(__xludf.DUMMYFUNCTION("""COMPUTED_VALUE"""),"Recognizing and Rewarding Your Workers")</f>
        <v>Recognizing and Rewarding Your Workers</v>
      </c>
      <c r="N54" s="147" t="str">
        <f>IFERROR(__xludf.DUMMYFUNCTION("""COMPUTED_VALUE"""),"General")</f>
        <v>General</v>
      </c>
      <c r="O54" s="141" t="str">
        <f>IFERROR(__xludf.DUMMYFUNCTION("""COMPUTED_VALUE"""),"Beginner + Intermediate")</f>
        <v>Beginner + Intermediate</v>
      </c>
      <c r="P54" s="143">
        <f>IFERROR(__xludf.DUMMYFUNCTION("""COMPUTED_VALUE"""),0.02582175925925926)</f>
        <v>0.02582175926</v>
      </c>
      <c r="Q54" s="151"/>
      <c r="R54" s="140"/>
      <c r="S54" s="140"/>
    </row>
    <row r="55" ht="33.75" customHeight="1">
      <c r="A55" s="140"/>
      <c r="B55" s="140"/>
      <c r="C55" s="147">
        <f>IFERROR(__xludf.DUMMYFUNCTION("""COMPUTED_VALUE"""),2822592.0)</f>
        <v>2822592</v>
      </c>
      <c r="D55" s="148" t="str">
        <f>IFERROR(__xludf.DUMMYFUNCTION("""COMPUTED_VALUE"""),"Introduction to Business Analytics")</f>
        <v>Introduction to Business Analytics</v>
      </c>
      <c r="E55" s="147" t="str">
        <f>IFERROR(__xludf.DUMMYFUNCTION("""COMPUTED_VALUE"""),"General")</f>
        <v>General</v>
      </c>
      <c r="F55" s="141" t="str">
        <f>IFERROR(__xludf.DUMMYFUNCTION("""COMPUTED_VALUE"""),"Beginner")</f>
        <v>Beginner</v>
      </c>
      <c r="G55" s="143">
        <f>IFERROR(__xludf.DUMMYFUNCTION("""COMPUTED_VALUE"""),0.05717592592592593)</f>
        <v>0.05717592593</v>
      </c>
      <c r="H55" s="151"/>
      <c r="I55" s="140"/>
      <c r="J55" s="140"/>
      <c r="K55" s="140"/>
      <c r="L55" s="147">
        <f>IFERROR(__xludf.DUMMYFUNCTION("""COMPUTED_VALUE"""),2825600.0)</f>
        <v>2825600</v>
      </c>
      <c r="M55" s="148" t="str">
        <f>IFERROR(__xludf.DUMMYFUNCTION("""COMPUTED_VALUE"""),"Increase Visibility to Advance Your Career")</f>
        <v>Increase Visibility to Advance Your Career</v>
      </c>
      <c r="N55" s="147" t="str">
        <f>IFERROR(__xludf.DUMMYFUNCTION("""COMPUTED_VALUE"""),"General")</f>
        <v>General</v>
      </c>
      <c r="O55" s="141" t="str">
        <f>IFERROR(__xludf.DUMMYFUNCTION("""COMPUTED_VALUE"""),"Beginner + Intermediate")</f>
        <v>Beginner + Intermediate</v>
      </c>
      <c r="P55" s="143">
        <f>IFERROR(__xludf.DUMMYFUNCTION("""COMPUTED_VALUE"""),0.016655092592592593)</f>
        <v>0.01665509259</v>
      </c>
      <c r="Q55" s="151"/>
      <c r="R55" s="140"/>
      <c r="S55" s="140"/>
    </row>
    <row r="56" ht="33.75" customHeight="1">
      <c r="A56" s="140"/>
      <c r="B56" s="140"/>
      <c r="C56" s="147">
        <f>IFERROR(__xludf.DUMMYFUNCTION("""COMPUTED_VALUE"""),2874277.0)</f>
        <v>2874277</v>
      </c>
      <c r="D56" s="148" t="str">
        <f>IFERROR(__xludf.DUMMYFUNCTION("""COMPUTED_VALUE"""),"Outsourcing: Managing Service Transition")</f>
        <v>Outsourcing: Managing Service Transition</v>
      </c>
      <c r="E56" s="147" t="str">
        <f>IFERROR(__xludf.DUMMYFUNCTION("""COMPUTED_VALUE"""),"General")</f>
        <v>General</v>
      </c>
      <c r="F56" s="141" t="str">
        <f>IFERROR(__xludf.DUMMYFUNCTION("""COMPUTED_VALUE"""),"Beginner")</f>
        <v>Beginner</v>
      </c>
      <c r="G56" s="143">
        <f>IFERROR(__xludf.DUMMYFUNCTION("""COMPUTED_VALUE"""),0.025902777777777778)</f>
        <v>0.02590277778</v>
      </c>
      <c r="H56" s="151"/>
      <c r="I56" s="140"/>
      <c r="J56" s="140"/>
      <c r="K56" s="140"/>
      <c r="L56" s="147">
        <f>IFERROR(__xludf.DUMMYFUNCTION("""COMPUTED_VALUE"""),622053.0)</f>
        <v>622053</v>
      </c>
      <c r="M56" s="148" t="str">
        <f>IFERROR(__xludf.DUMMYFUNCTION("""COMPUTED_VALUE"""),"Giving and Receiving Feedback")</f>
        <v>Giving and Receiving Feedback</v>
      </c>
      <c r="N56" s="147" t="str">
        <f>IFERROR(__xludf.DUMMYFUNCTION("""COMPUTED_VALUE"""),"General")</f>
        <v>General</v>
      </c>
      <c r="O56" s="141" t="str">
        <f>IFERROR(__xludf.DUMMYFUNCTION("""COMPUTED_VALUE"""),"Beginner + Intermediate")</f>
        <v>Beginner + Intermediate</v>
      </c>
      <c r="P56" s="143">
        <f>IFERROR(__xludf.DUMMYFUNCTION("""COMPUTED_VALUE"""),0.03346064814814815)</f>
        <v>0.03346064815</v>
      </c>
      <c r="Q56" s="151"/>
      <c r="R56" s="140"/>
      <c r="S56" s="140"/>
    </row>
    <row r="57" ht="33.75" customHeight="1">
      <c r="A57" s="140"/>
      <c r="B57" s="140"/>
      <c r="C57" s="147">
        <f>IFERROR(__xludf.DUMMYFUNCTION("""COMPUTED_VALUE"""),2893113.0)</f>
        <v>2893113</v>
      </c>
      <c r="D57" s="148" t="str">
        <f>IFERROR(__xludf.DUMMYFUNCTION("""COMPUTED_VALUE"""),"Change Management Tips for Individuals")</f>
        <v>Change Management Tips for Individuals</v>
      </c>
      <c r="E57" s="147" t="str">
        <f>IFERROR(__xludf.DUMMYFUNCTION("""COMPUTED_VALUE"""),"General")</f>
        <v>General</v>
      </c>
      <c r="F57" s="141" t="str">
        <f>IFERROR(__xludf.DUMMYFUNCTION("""COMPUTED_VALUE"""),"Beginner")</f>
        <v>Beginner</v>
      </c>
      <c r="G57" s="143">
        <f>IFERROR(__xludf.DUMMYFUNCTION("""COMPUTED_VALUE"""),0.010532407407407407)</f>
        <v>0.01053240741</v>
      </c>
      <c r="H57" s="151"/>
      <c r="I57" s="140"/>
      <c r="J57" s="140"/>
      <c r="K57" s="140"/>
      <c r="L57" s="147">
        <f>IFERROR(__xludf.DUMMYFUNCTION("""COMPUTED_VALUE"""),2824254.0)</f>
        <v>2824254</v>
      </c>
      <c r="M57" s="148" t="str">
        <f>IFERROR(__xludf.DUMMYFUNCTION("""COMPUTED_VALUE"""),"How to Be a Good Mentee and Mentor")</f>
        <v>How to Be a Good Mentee and Mentor</v>
      </c>
      <c r="N57" s="147" t="str">
        <f>IFERROR(__xludf.DUMMYFUNCTION("""COMPUTED_VALUE"""),"General")</f>
        <v>General</v>
      </c>
      <c r="O57" s="141" t="str">
        <f>IFERROR(__xludf.DUMMYFUNCTION("""COMPUTED_VALUE"""),"Beginner + Intermediate")</f>
        <v>Beginner + Intermediate</v>
      </c>
      <c r="P57" s="143">
        <f>IFERROR(__xludf.DUMMYFUNCTION("""COMPUTED_VALUE"""),0.018900462962962963)</f>
        <v>0.01890046296</v>
      </c>
      <c r="Q57" s="151"/>
      <c r="R57" s="140"/>
      <c r="S57" s="140"/>
    </row>
    <row r="58" ht="33.75" customHeight="1">
      <c r="A58" s="140"/>
      <c r="B58" s="140"/>
      <c r="C58" s="147">
        <f>IFERROR(__xludf.DUMMYFUNCTION("""COMPUTED_VALUE"""),3009567.0)</f>
        <v>3009567</v>
      </c>
      <c r="D58" s="148" t="str">
        <f>IFERROR(__xludf.DUMMYFUNCTION("""COMPUTED_VALUE"""),"Business Lessons from a Chess Champion")</f>
        <v>Business Lessons from a Chess Champion</v>
      </c>
      <c r="E58" s="147" t="str">
        <f>IFERROR(__xludf.DUMMYFUNCTION("""COMPUTED_VALUE"""),"General")</f>
        <v>General</v>
      </c>
      <c r="F58" s="141" t="str">
        <f>IFERROR(__xludf.DUMMYFUNCTION("""COMPUTED_VALUE"""),"Beginner")</f>
        <v>Beginner</v>
      </c>
      <c r="G58" s="143">
        <f>IFERROR(__xludf.DUMMYFUNCTION("""COMPUTED_VALUE"""),0.014537037037037038)</f>
        <v>0.01453703704</v>
      </c>
      <c r="H58" s="151"/>
      <c r="I58" s="140"/>
      <c r="J58" s="140"/>
      <c r="K58" s="140"/>
      <c r="L58" s="147">
        <f>IFERROR(__xludf.DUMMYFUNCTION("""COMPUTED_VALUE"""),647657.0)</f>
        <v>647657</v>
      </c>
      <c r="M58" s="148" t="str">
        <f>IFERROR(__xludf.DUMMYFUNCTION("""COMPUTED_VALUE"""),"Boosting Your Team's Productivity")</f>
        <v>Boosting Your Team's Productivity</v>
      </c>
      <c r="N58" s="147" t="str">
        <f>IFERROR(__xludf.DUMMYFUNCTION("""COMPUTED_VALUE"""),"General")</f>
        <v>General</v>
      </c>
      <c r="O58" s="141" t="str">
        <f>IFERROR(__xludf.DUMMYFUNCTION("""COMPUTED_VALUE"""),"General")</f>
        <v>General</v>
      </c>
      <c r="P58" s="143">
        <f>IFERROR(__xludf.DUMMYFUNCTION("""COMPUTED_VALUE"""),0.027175925925925926)</f>
        <v>0.02717592593</v>
      </c>
      <c r="Q58" s="151"/>
      <c r="R58" s="140"/>
      <c r="S58" s="140"/>
    </row>
    <row r="59" ht="33.75" customHeight="1">
      <c r="A59" s="140"/>
      <c r="B59" s="140"/>
      <c r="C59" s="147">
        <f>IFERROR(__xludf.DUMMYFUNCTION("""COMPUTED_VALUE"""),3155789.0)</f>
        <v>3155789</v>
      </c>
      <c r="D59" s="148" t="str">
        <f>IFERROR(__xludf.DUMMYFUNCTION("""COMPUTED_VALUE"""),"Supply Chain Analytics Foundations")</f>
        <v>Supply Chain Analytics Foundations</v>
      </c>
      <c r="E59" s="147" t="str">
        <f>IFERROR(__xludf.DUMMYFUNCTION("""COMPUTED_VALUE"""),"General")</f>
        <v>General</v>
      </c>
      <c r="F59" s="141" t="str">
        <f>IFERROR(__xludf.DUMMYFUNCTION("""COMPUTED_VALUE"""),"Beginner")</f>
        <v>Beginner</v>
      </c>
      <c r="G59" s="143">
        <f>IFERROR(__xludf.DUMMYFUNCTION("""COMPUTED_VALUE"""),0.03214120370370371)</f>
        <v>0.0321412037</v>
      </c>
      <c r="H59" s="151"/>
      <c r="I59" s="140"/>
      <c r="J59" s="140"/>
      <c r="K59" s="140"/>
      <c r="L59" s="147">
        <f>IFERROR(__xludf.DUMMYFUNCTION("""COMPUTED_VALUE"""),656791.0)</f>
        <v>656791</v>
      </c>
      <c r="M59" s="148" t="str">
        <f>IFERROR(__xludf.DUMMYFUNCTION("""COMPUTED_VALUE"""),"Executive Coaching")</f>
        <v>Executive Coaching</v>
      </c>
      <c r="N59" s="147" t="str">
        <f>IFERROR(__xludf.DUMMYFUNCTION("""COMPUTED_VALUE"""),"General")</f>
        <v>General</v>
      </c>
      <c r="O59" s="141" t="str">
        <f>IFERROR(__xludf.DUMMYFUNCTION("""COMPUTED_VALUE"""),"General")</f>
        <v>General</v>
      </c>
      <c r="P59" s="143">
        <f>IFERROR(__xludf.DUMMYFUNCTION("""COMPUTED_VALUE"""),0.039768518518518516)</f>
        <v>0.03976851852</v>
      </c>
      <c r="Q59" s="151"/>
      <c r="R59" s="140"/>
      <c r="S59" s="140"/>
    </row>
    <row r="60" ht="33.75" customHeight="1">
      <c r="A60" s="140"/>
      <c r="B60" s="140"/>
      <c r="C60" s="147">
        <f>IFERROR(__xludf.DUMMYFUNCTION("""COMPUTED_VALUE"""),2833086.0)</f>
        <v>2833086</v>
      </c>
      <c r="D60" s="148" t="str">
        <f>IFERROR(__xludf.DUMMYFUNCTION("""COMPUTED_VALUE"""),"Business Innovation Foundations")</f>
        <v>Business Innovation Foundations</v>
      </c>
      <c r="E60" s="147" t="str">
        <f>IFERROR(__xludf.DUMMYFUNCTION("""COMPUTED_VALUE"""),"General")</f>
        <v>General</v>
      </c>
      <c r="F60" s="141" t="str">
        <f>IFERROR(__xludf.DUMMYFUNCTION("""COMPUTED_VALUE"""),"Beginner")</f>
        <v>Beginner</v>
      </c>
      <c r="G60" s="143">
        <f>IFERROR(__xludf.DUMMYFUNCTION("""COMPUTED_VALUE"""),0.03378472222222222)</f>
        <v>0.03378472222</v>
      </c>
      <c r="H60" s="151"/>
      <c r="I60" s="140"/>
      <c r="J60" s="140"/>
      <c r="K60" s="140"/>
      <c r="L60" s="147">
        <f>IFERROR(__xludf.DUMMYFUNCTION("""COMPUTED_VALUE"""),2819211.0)</f>
        <v>2819211</v>
      </c>
      <c r="M60" s="148" t="str">
        <f>IFERROR(__xludf.DUMMYFUNCTION("""COMPUTED_VALUE"""),"All You Have to Do Is Ask: How to Ask for Help When You Need It")</f>
        <v>All You Have to Do Is Ask: How to Ask for Help When You Need It</v>
      </c>
      <c r="N60" s="147" t="str">
        <f>IFERROR(__xludf.DUMMYFUNCTION("""COMPUTED_VALUE"""),"General")</f>
        <v>General</v>
      </c>
      <c r="O60" s="141" t="str">
        <f>IFERROR(__xludf.DUMMYFUNCTION("""COMPUTED_VALUE"""),"General")</f>
        <v>General</v>
      </c>
      <c r="P60" s="143">
        <f>IFERROR(__xludf.DUMMYFUNCTION("""COMPUTED_VALUE"""),0.030706018518518518)</f>
        <v>0.03070601852</v>
      </c>
      <c r="Q60" s="151"/>
      <c r="R60" s="140"/>
      <c r="S60" s="140"/>
    </row>
    <row r="61" ht="33.75" customHeight="1">
      <c r="A61" s="140"/>
      <c r="B61" s="140"/>
      <c r="C61" s="147">
        <f>IFERROR(__xludf.DUMMYFUNCTION("""COMPUTED_VALUE"""),3009141.0)</f>
        <v>3009141</v>
      </c>
      <c r="D61" s="148" t="str">
        <f>IFERROR(__xludf.DUMMYFUNCTION("""COMPUTED_VALUE"""),"Business Analysis Foundations: Strategy Analysis")</f>
        <v>Business Analysis Foundations: Strategy Analysis</v>
      </c>
      <c r="E61" s="147" t="str">
        <f>IFERROR(__xludf.DUMMYFUNCTION("""COMPUTED_VALUE"""),"General")</f>
        <v>General</v>
      </c>
      <c r="F61" s="141" t="str">
        <f>IFERROR(__xludf.DUMMYFUNCTION("""COMPUTED_VALUE"""),"Beginner")</f>
        <v>Beginner</v>
      </c>
      <c r="G61" s="143">
        <f>IFERROR(__xludf.DUMMYFUNCTION("""COMPUTED_VALUE"""),0.05471064814814815)</f>
        <v>0.05471064815</v>
      </c>
      <c r="H61" s="151"/>
      <c r="I61" s="140"/>
      <c r="J61" s="140"/>
      <c r="K61" s="140"/>
      <c r="L61" s="147">
        <f>IFERROR(__xludf.DUMMYFUNCTION("""COMPUTED_VALUE"""),2822163.0)</f>
        <v>2822163</v>
      </c>
      <c r="M61" s="148" t="str">
        <f>IFERROR(__xludf.DUMMYFUNCTION("""COMPUTED_VALUE"""),"How to Succeed in a Case Study Interview")</f>
        <v>How to Succeed in a Case Study Interview</v>
      </c>
      <c r="N61" s="147" t="str">
        <f>IFERROR(__xludf.DUMMYFUNCTION("""COMPUTED_VALUE"""),"General")</f>
        <v>General</v>
      </c>
      <c r="O61" s="141" t="str">
        <f>IFERROR(__xludf.DUMMYFUNCTION("""COMPUTED_VALUE"""),"General")</f>
        <v>General</v>
      </c>
      <c r="P61" s="143">
        <f>IFERROR(__xludf.DUMMYFUNCTION("""COMPUTED_VALUE"""),0.02474537037037037)</f>
        <v>0.02474537037</v>
      </c>
      <c r="Q61" s="151"/>
      <c r="R61" s="140"/>
      <c r="S61" s="140"/>
    </row>
    <row r="62" ht="33.75" customHeight="1">
      <c r="A62" s="140"/>
      <c r="B62" s="140"/>
      <c r="C62" s="147">
        <f>IFERROR(__xludf.DUMMYFUNCTION("""COMPUTED_VALUE"""),2898719.0)</f>
        <v>2898719</v>
      </c>
      <c r="D62" s="148" t="str">
        <f>IFERROR(__xludf.DUMMYFUNCTION("""COMPUTED_VALUE"""),"Strategic Pricing for Products and Services")</f>
        <v>Strategic Pricing for Products and Services</v>
      </c>
      <c r="E62" s="147" t="str">
        <f>IFERROR(__xludf.DUMMYFUNCTION("""COMPUTED_VALUE"""),"General")</f>
        <v>General</v>
      </c>
      <c r="F62" s="141" t="str">
        <f>IFERROR(__xludf.DUMMYFUNCTION("""COMPUTED_VALUE"""),"Beginner + Intermediate")</f>
        <v>Beginner + Intermediate</v>
      </c>
      <c r="G62" s="143">
        <f>IFERROR(__xludf.DUMMYFUNCTION("""COMPUTED_VALUE"""),0.05333333333333334)</f>
        <v>0.05333333333</v>
      </c>
      <c r="H62" s="151"/>
      <c r="I62" s="140"/>
      <c r="J62" s="140"/>
      <c r="K62" s="140"/>
      <c r="L62" s="147">
        <f>IFERROR(__xludf.DUMMYFUNCTION("""COMPUTED_VALUE"""),2887218.0)</f>
        <v>2887218</v>
      </c>
      <c r="M62" s="148" t="str">
        <f>IFERROR(__xludf.DUMMYFUNCTION("""COMPUTED_VALUE"""),"One-Minute Habits for Success")</f>
        <v>One-Minute Habits for Success</v>
      </c>
      <c r="N62" s="147" t="str">
        <f>IFERROR(__xludf.DUMMYFUNCTION("""COMPUTED_VALUE"""),"General")</f>
        <v>General</v>
      </c>
      <c r="O62" s="141" t="str">
        <f>IFERROR(__xludf.DUMMYFUNCTION("""COMPUTED_VALUE"""),"General")</f>
        <v>General</v>
      </c>
      <c r="P62" s="143">
        <f>IFERROR(__xludf.DUMMYFUNCTION("""COMPUTED_VALUE"""),0.028009259259259258)</f>
        <v>0.02800925926</v>
      </c>
      <c r="Q62" s="151"/>
      <c r="R62" s="140"/>
      <c r="S62" s="140"/>
    </row>
    <row r="63" ht="33.75" customHeight="1">
      <c r="A63" s="140"/>
      <c r="B63" s="140"/>
      <c r="C63" s="147">
        <f>IFERROR(__xludf.DUMMYFUNCTION("""COMPUTED_VALUE"""),2831006.0)</f>
        <v>2831006</v>
      </c>
      <c r="D63" s="148" t="str">
        <f>IFERROR(__xludf.DUMMYFUNCTION("""COMPUTED_VALUE"""),"International Business Foundations")</f>
        <v>International Business Foundations</v>
      </c>
      <c r="E63" s="147" t="str">
        <f>IFERROR(__xludf.DUMMYFUNCTION("""COMPUTED_VALUE"""),"General")</f>
        <v>General</v>
      </c>
      <c r="F63" s="141" t="str">
        <f>IFERROR(__xludf.DUMMYFUNCTION("""COMPUTED_VALUE"""),"Beginner + Intermediate")</f>
        <v>Beginner + Intermediate</v>
      </c>
      <c r="G63" s="143">
        <f>IFERROR(__xludf.DUMMYFUNCTION("""COMPUTED_VALUE"""),0.02826388888888889)</f>
        <v>0.02826388889</v>
      </c>
      <c r="H63" s="151"/>
      <c r="I63" s="140"/>
      <c r="J63" s="140"/>
      <c r="K63" s="140"/>
      <c r="L63" s="147">
        <f>IFERROR(__xludf.DUMMYFUNCTION("""COMPUTED_VALUE"""),2823559.0)</f>
        <v>2823559</v>
      </c>
      <c r="M63" s="148" t="str">
        <f>IFERROR(__xludf.DUMMYFUNCTION("""COMPUTED_VALUE"""),"The Future of Workplace Learning")</f>
        <v>The Future of Workplace Learning</v>
      </c>
      <c r="N63" s="147" t="str">
        <f>IFERROR(__xludf.DUMMYFUNCTION("""COMPUTED_VALUE"""),"General")</f>
        <v>General</v>
      </c>
      <c r="O63" s="141" t="str">
        <f>IFERROR(__xludf.DUMMYFUNCTION("""COMPUTED_VALUE"""),"Intermediate")</f>
        <v>Intermediate</v>
      </c>
      <c r="P63" s="143">
        <f>IFERROR(__xludf.DUMMYFUNCTION("""COMPUTED_VALUE"""),0.015671296296296298)</f>
        <v>0.0156712963</v>
      </c>
      <c r="Q63" s="151"/>
      <c r="R63" s="140"/>
      <c r="S63" s="140"/>
    </row>
    <row r="64" ht="33.75" customHeight="1">
      <c r="A64" s="140"/>
      <c r="B64" s="140"/>
      <c r="C64" s="147">
        <f>IFERROR(__xludf.DUMMYFUNCTION("""COMPUTED_VALUE"""),2824021.0)</f>
        <v>2824021</v>
      </c>
      <c r="D64" s="148" t="str">
        <f>IFERROR(__xludf.DUMMYFUNCTION("""COMPUTED_VALUE"""),"Safeguarding AI")</f>
        <v>Safeguarding AI</v>
      </c>
      <c r="E64" s="147" t="str">
        <f>IFERROR(__xludf.DUMMYFUNCTION("""COMPUTED_VALUE"""),"General")</f>
        <v>General</v>
      </c>
      <c r="F64" s="141" t="str">
        <f>IFERROR(__xludf.DUMMYFUNCTION("""COMPUTED_VALUE"""),"Beginner + Intermediate")</f>
        <v>Beginner + Intermediate</v>
      </c>
      <c r="G64" s="143">
        <f>IFERROR(__xludf.DUMMYFUNCTION("""COMPUTED_VALUE"""),0.025590277777777778)</f>
        <v>0.02559027778</v>
      </c>
      <c r="H64" s="151"/>
      <c r="I64" s="140"/>
      <c r="J64" s="140"/>
      <c r="K64" s="140"/>
      <c r="L64" s="147">
        <f>IFERROR(__xludf.DUMMYFUNCTION("""COMPUTED_VALUE"""),718627.0)</f>
        <v>718627</v>
      </c>
      <c r="M64" s="148" t="str">
        <f>IFERROR(__xludf.DUMMYFUNCTION("""COMPUTED_VALUE"""),"Enhancing Team Innovation")</f>
        <v>Enhancing Team Innovation</v>
      </c>
      <c r="N64" s="147" t="str">
        <f>IFERROR(__xludf.DUMMYFUNCTION("""COMPUTED_VALUE"""),"General")</f>
        <v>General</v>
      </c>
      <c r="O64" s="141" t="str">
        <f>IFERROR(__xludf.DUMMYFUNCTION("""COMPUTED_VALUE"""),"Intermediate")</f>
        <v>Intermediate</v>
      </c>
      <c r="P64" s="143">
        <f>IFERROR(__xludf.DUMMYFUNCTION("""COMPUTED_VALUE"""),0.051597222222222225)</f>
        <v>0.05159722222</v>
      </c>
      <c r="Q64" s="151"/>
      <c r="R64" s="140"/>
      <c r="S64" s="140"/>
    </row>
    <row r="65" ht="33.75" customHeight="1">
      <c r="A65" s="140"/>
      <c r="B65" s="140"/>
      <c r="C65" s="147">
        <f>IFERROR(__xludf.DUMMYFUNCTION("""COMPUTED_VALUE"""),2848327.0)</f>
        <v>2848327</v>
      </c>
      <c r="D65" s="148" t="str">
        <f>IFERROR(__xludf.DUMMYFUNCTION("""COMPUTED_VALUE"""),"The 45-Minute Business Plan")</f>
        <v>The 45-Minute Business Plan</v>
      </c>
      <c r="E65" s="147" t="str">
        <f>IFERROR(__xludf.DUMMYFUNCTION("""COMPUTED_VALUE"""),"General")</f>
        <v>General</v>
      </c>
      <c r="F65" s="141" t="str">
        <f>IFERROR(__xludf.DUMMYFUNCTION("""COMPUTED_VALUE"""),"Beginner + Intermediate")</f>
        <v>Beginner + Intermediate</v>
      </c>
      <c r="G65" s="143">
        <f>IFERROR(__xludf.DUMMYFUNCTION("""COMPUTED_VALUE"""),0.028391203703703703)</f>
        <v>0.0283912037</v>
      </c>
      <c r="H65" s="151"/>
      <c r="I65" s="140"/>
      <c r="J65" s="140"/>
      <c r="K65" s="140"/>
      <c r="L65" s="147">
        <f>IFERROR(__xludf.DUMMYFUNCTION("""COMPUTED_VALUE"""),808667.0)</f>
        <v>808667</v>
      </c>
      <c r="M65" s="148" t="str">
        <f>IFERROR(__xludf.DUMMYFUNCTION("""COMPUTED_VALUE"""),"Building a Coaching Culture: Improving Performance Through Timely Feedback")</f>
        <v>Building a Coaching Culture: Improving Performance Through Timely Feedback</v>
      </c>
      <c r="N65" s="147" t="str">
        <f>IFERROR(__xludf.DUMMYFUNCTION("""COMPUTED_VALUE"""),"General")</f>
        <v>General</v>
      </c>
      <c r="O65" s="141" t="str">
        <f>IFERROR(__xludf.DUMMYFUNCTION("""COMPUTED_VALUE"""),"Intermediate")</f>
        <v>Intermediate</v>
      </c>
      <c r="P65" s="143">
        <f>IFERROR(__xludf.DUMMYFUNCTION("""COMPUTED_VALUE"""),0.04760416666666667)</f>
        <v>0.04760416667</v>
      </c>
      <c r="Q65" s="151"/>
      <c r="R65" s="140"/>
      <c r="S65" s="140"/>
    </row>
    <row r="66" ht="33.75" customHeight="1">
      <c r="A66" s="140"/>
      <c r="B66" s="140"/>
      <c r="C66" s="147">
        <f>IFERROR(__xludf.DUMMYFUNCTION("""COMPUTED_VALUE"""),3001270.0)</f>
        <v>3001270</v>
      </c>
      <c r="D66" s="148" t="str">
        <f>IFERROR(__xludf.DUMMYFUNCTION("""COMPUTED_VALUE"""),"Business Analysis: Essential Tools and Techniques")</f>
        <v>Business Analysis: Essential Tools and Techniques</v>
      </c>
      <c r="E66" s="147" t="str">
        <f>IFERROR(__xludf.DUMMYFUNCTION("""COMPUTED_VALUE"""),"General")</f>
        <v>General</v>
      </c>
      <c r="F66" s="141" t="str">
        <f>IFERROR(__xludf.DUMMYFUNCTION("""COMPUTED_VALUE"""),"Beginner + Intermediate")</f>
        <v>Beginner + Intermediate</v>
      </c>
      <c r="G66" s="143">
        <f>IFERROR(__xludf.DUMMYFUNCTION("""COMPUTED_VALUE"""),0.033368055555555554)</f>
        <v>0.03336805556</v>
      </c>
      <c r="H66" s="151"/>
      <c r="I66" s="140"/>
      <c r="J66" s="140"/>
      <c r="K66" s="140"/>
      <c r="L66" s="147"/>
      <c r="M66" s="153"/>
      <c r="N66" s="147"/>
      <c r="O66" s="141"/>
      <c r="P66" s="141"/>
      <c r="Q66" s="151"/>
      <c r="R66" s="140"/>
      <c r="S66" s="140"/>
    </row>
    <row r="67" ht="33.75" customHeight="1">
      <c r="A67" s="140"/>
      <c r="B67" s="140"/>
      <c r="C67" s="147">
        <f>IFERROR(__xludf.DUMMYFUNCTION("""COMPUTED_VALUE"""),2895101.0)</f>
        <v>2895101</v>
      </c>
      <c r="D67" s="148" t="str">
        <f>IFERROR(__xludf.DUMMYFUNCTION("""COMPUTED_VALUE"""),"Developing Business Partnerships")</f>
        <v>Developing Business Partnerships</v>
      </c>
      <c r="E67" s="147" t="str">
        <f>IFERROR(__xludf.DUMMYFUNCTION("""COMPUTED_VALUE"""),"General")</f>
        <v>General</v>
      </c>
      <c r="F67" s="141" t="str">
        <f>IFERROR(__xludf.DUMMYFUNCTION("""COMPUTED_VALUE"""),"Intermediate")</f>
        <v>Intermediate</v>
      </c>
      <c r="G67" s="143">
        <f>IFERROR(__xludf.DUMMYFUNCTION("""COMPUTED_VALUE"""),0.037766203703703705)</f>
        <v>0.0377662037</v>
      </c>
      <c r="H67" s="151"/>
      <c r="I67" s="140"/>
      <c r="J67" s="140"/>
      <c r="K67" s="140"/>
      <c r="L67" s="147"/>
      <c r="M67" s="153"/>
      <c r="N67" s="147"/>
      <c r="O67" s="141"/>
      <c r="P67" s="141"/>
      <c r="Q67" s="151"/>
      <c r="R67" s="140"/>
      <c r="S67" s="140"/>
    </row>
    <row r="68" ht="33.75" customHeight="1">
      <c r="A68" s="140"/>
      <c r="B68" s="140"/>
      <c r="C68" s="147">
        <f>IFERROR(__xludf.DUMMYFUNCTION("""COMPUTED_VALUE"""),2427401.0)</f>
        <v>2427401</v>
      </c>
      <c r="D68" s="148" t="str">
        <f>IFERROR(__xludf.DUMMYFUNCTION("""COMPUTED_VALUE"""),"Business Analysis for Busy Professionals")</f>
        <v>Business Analysis for Busy Professionals</v>
      </c>
      <c r="E68" s="147" t="str">
        <f>IFERROR(__xludf.DUMMYFUNCTION("""COMPUTED_VALUE"""),"General")</f>
        <v>General</v>
      </c>
      <c r="F68" s="141" t="str">
        <f>IFERROR(__xludf.DUMMYFUNCTION("""COMPUTED_VALUE"""),"General")</f>
        <v>General</v>
      </c>
      <c r="G68" s="143">
        <f>IFERROR(__xludf.DUMMYFUNCTION("""COMPUTED_VALUE"""),0.029953703703703705)</f>
        <v>0.0299537037</v>
      </c>
      <c r="H68" s="151"/>
      <c r="I68" s="140"/>
      <c r="J68" s="140"/>
      <c r="K68" s="140"/>
      <c r="L68" s="147"/>
      <c r="M68" s="153"/>
      <c r="N68" s="147"/>
      <c r="O68" s="141"/>
      <c r="P68" s="141"/>
      <c r="Q68" s="151"/>
      <c r="R68" s="140"/>
      <c r="S68" s="140"/>
    </row>
    <row r="69" ht="33.75" customHeight="1">
      <c r="A69" s="140"/>
      <c r="B69" s="140"/>
      <c r="C69" s="147">
        <f>IFERROR(__xludf.DUMMYFUNCTION("""COMPUTED_VALUE"""),2887259.0)</f>
        <v>2887259</v>
      </c>
      <c r="D69" s="148" t="str">
        <f>IFERROR(__xludf.DUMMYFUNCTION("""COMPUTED_VALUE"""),"Conducting a SWOT Analysis")</f>
        <v>Conducting a SWOT Analysis</v>
      </c>
      <c r="E69" s="147" t="str">
        <f>IFERROR(__xludf.DUMMYFUNCTION("""COMPUTED_VALUE"""),"General")</f>
        <v>General</v>
      </c>
      <c r="F69" s="141" t="str">
        <f>IFERROR(__xludf.DUMMYFUNCTION("""COMPUTED_VALUE"""),"General")</f>
        <v>General</v>
      </c>
      <c r="G69" s="143">
        <f>IFERROR(__xludf.DUMMYFUNCTION("""COMPUTED_VALUE"""),0.032789351851851854)</f>
        <v>0.03278935185</v>
      </c>
      <c r="H69" s="151"/>
      <c r="I69" s="140"/>
      <c r="J69" s="140"/>
      <c r="K69" s="140"/>
      <c r="L69" s="147"/>
      <c r="M69" s="153"/>
      <c r="N69" s="147"/>
      <c r="O69" s="141"/>
      <c r="P69" s="141"/>
      <c r="Q69" s="151"/>
      <c r="R69" s="140"/>
      <c r="S69" s="140"/>
    </row>
    <row r="70" ht="33.75" customHeight="1">
      <c r="A70" s="140"/>
      <c r="B70" s="140"/>
      <c r="C70" s="147">
        <f>IFERROR(__xludf.DUMMYFUNCTION("""COMPUTED_VALUE"""),765312.0)</f>
        <v>765312</v>
      </c>
      <c r="D70" s="148" t="str">
        <f>IFERROR(__xludf.DUMMYFUNCTION("""COMPUTED_VALUE"""),"The New Age of Risk Management Strategy for Business")</f>
        <v>The New Age of Risk Management Strategy for Business</v>
      </c>
      <c r="E70" s="147" t="str">
        <f>IFERROR(__xludf.DUMMYFUNCTION("""COMPUTED_VALUE"""),"General")</f>
        <v>General</v>
      </c>
      <c r="F70" s="141" t="str">
        <f>IFERROR(__xludf.DUMMYFUNCTION("""COMPUTED_VALUE"""),"General")</f>
        <v>General</v>
      </c>
      <c r="G70" s="143">
        <f>IFERROR(__xludf.DUMMYFUNCTION("""COMPUTED_VALUE"""),0.06204861111111111)</f>
        <v>0.06204861111</v>
      </c>
      <c r="H70" s="151"/>
      <c r="I70" s="140"/>
      <c r="J70" s="140"/>
      <c r="K70" s="140"/>
      <c r="L70" s="147"/>
      <c r="M70" s="153"/>
      <c r="N70" s="147"/>
      <c r="O70" s="141"/>
      <c r="P70" s="141"/>
      <c r="Q70" s="151"/>
      <c r="R70" s="140"/>
      <c r="S70" s="140"/>
    </row>
    <row r="71" ht="33.75" customHeight="1">
      <c r="A71" s="140"/>
      <c r="B71" s="140"/>
      <c r="C71" s="147">
        <f>IFERROR(__xludf.DUMMYFUNCTION("""COMPUTED_VALUE"""),2825458.0)</f>
        <v>2825458</v>
      </c>
      <c r="D71" s="148" t="str">
        <f>IFERROR(__xludf.DUMMYFUNCTION("""COMPUTED_VALUE"""),"Emily Cohen: Brutal Honesty as a Business Strategy")</f>
        <v>Emily Cohen: Brutal Honesty as a Business Strategy</v>
      </c>
      <c r="E71" s="147" t="str">
        <f>IFERROR(__xludf.DUMMYFUNCTION("""COMPUTED_VALUE"""),"General")</f>
        <v>General</v>
      </c>
      <c r="F71" s="141" t="str">
        <f>IFERROR(__xludf.DUMMYFUNCTION("""COMPUTED_VALUE"""),"General")</f>
        <v>General</v>
      </c>
      <c r="G71" s="143">
        <f>IFERROR(__xludf.DUMMYFUNCTION("""COMPUTED_VALUE"""),0.022685185185185187)</f>
        <v>0.02268518519</v>
      </c>
      <c r="H71" s="151"/>
      <c r="I71" s="140"/>
      <c r="J71" s="140"/>
      <c r="K71" s="140"/>
      <c r="L71" s="147"/>
      <c r="M71" s="153"/>
      <c r="N71" s="147"/>
      <c r="O71" s="141"/>
      <c r="P71" s="141"/>
      <c r="Q71" s="151"/>
      <c r="R71" s="140"/>
      <c r="S71" s="140"/>
    </row>
    <row r="72" ht="33.75" customHeight="1">
      <c r="A72" s="140"/>
      <c r="B72" s="140"/>
      <c r="C72" s="147">
        <f>IFERROR(__xludf.DUMMYFUNCTION("""COMPUTED_VALUE"""),2835087.0)</f>
        <v>2835087</v>
      </c>
      <c r="D72" s="148" t="str">
        <f>IFERROR(__xludf.DUMMYFUNCTION("""COMPUTED_VALUE"""),"How to Make Strategic Thinking a Habit")</f>
        <v>How to Make Strategic Thinking a Habit</v>
      </c>
      <c r="E72" s="147" t="str">
        <f>IFERROR(__xludf.DUMMYFUNCTION("""COMPUTED_VALUE"""),"General")</f>
        <v>General</v>
      </c>
      <c r="F72" s="141" t="str">
        <f>IFERROR(__xludf.DUMMYFUNCTION("""COMPUTED_VALUE"""),"General")</f>
        <v>General</v>
      </c>
      <c r="G72" s="143">
        <f>IFERROR(__xludf.DUMMYFUNCTION("""COMPUTED_VALUE"""),0.023680555555555555)</f>
        <v>0.02368055556</v>
      </c>
      <c r="H72" s="151"/>
      <c r="I72" s="140"/>
      <c r="J72" s="140"/>
      <c r="K72" s="140"/>
      <c r="L72" s="147"/>
      <c r="M72" s="153"/>
      <c r="N72" s="147"/>
      <c r="O72" s="141"/>
      <c r="P72" s="141"/>
      <c r="Q72" s="151"/>
      <c r="R72" s="140"/>
      <c r="S72" s="140"/>
    </row>
    <row r="73" ht="33.75" customHeight="1">
      <c r="A73" s="140"/>
      <c r="B73" s="140"/>
      <c r="C73" s="147">
        <f>IFERROR(__xludf.DUMMYFUNCTION("""COMPUTED_VALUE"""),2817223.0)</f>
        <v>2817223</v>
      </c>
      <c r="D73" s="148" t="str">
        <f>IFERROR(__xludf.DUMMYFUNCTION("""COMPUTED_VALUE"""),"Thinking In New Boxes: A New Paradigm for Business Creativity")</f>
        <v>Thinking In New Boxes: A New Paradigm for Business Creativity</v>
      </c>
      <c r="E73" s="147" t="str">
        <f>IFERROR(__xludf.DUMMYFUNCTION("""COMPUTED_VALUE"""),"General")</f>
        <v>General</v>
      </c>
      <c r="F73" s="141" t="str">
        <f>IFERROR(__xludf.DUMMYFUNCTION("""COMPUTED_VALUE"""),"General")</f>
        <v>General</v>
      </c>
      <c r="G73" s="143">
        <f>IFERROR(__xludf.DUMMYFUNCTION("""COMPUTED_VALUE"""),0.03090277777777778)</f>
        <v>0.03090277778</v>
      </c>
      <c r="H73" s="151"/>
      <c r="I73" s="140"/>
      <c r="J73" s="140"/>
      <c r="K73" s="140"/>
      <c r="L73" s="147"/>
      <c r="M73" s="153"/>
      <c r="N73" s="147"/>
      <c r="O73" s="141"/>
      <c r="P73" s="141"/>
      <c r="Q73" s="151"/>
      <c r="R73" s="140"/>
      <c r="S73" s="140"/>
    </row>
    <row r="74" ht="33.75" customHeight="1">
      <c r="A74" s="140"/>
      <c r="B74" s="140"/>
      <c r="C74" s="147">
        <f>IFERROR(__xludf.DUMMYFUNCTION("""COMPUTED_VALUE"""),2818050.0)</f>
        <v>2818050</v>
      </c>
      <c r="D74" s="148" t="str">
        <f>IFERROR(__xludf.DUMMYFUNCTION("""COMPUTED_VALUE"""),"Technology and Design Ethics")</f>
        <v>Technology and Design Ethics</v>
      </c>
      <c r="E74" s="147" t="str">
        <f>IFERROR(__xludf.DUMMYFUNCTION("""COMPUTED_VALUE"""),"General")</f>
        <v>General</v>
      </c>
      <c r="F74" s="141" t="str">
        <f>IFERROR(__xludf.DUMMYFUNCTION("""COMPUTED_VALUE"""),"General")</f>
        <v>General</v>
      </c>
      <c r="G74" s="143">
        <f>IFERROR(__xludf.DUMMYFUNCTION("""COMPUTED_VALUE"""),0.0647337962962963)</f>
        <v>0.0647337963</v>
      </c>
      <c r="H74" s="151"/>
      <c r="I74" s="140"/>
      <c r="J74" s="140"/>
      <c r="K74" s="140"/>
      <c r="L74" s="147"/>
      <c r="M74" s="153"/>
      <c r="N74" s="147"/>
      <c r="O74" s="141"/>
      <c r="P74" s="141"/>
      <c r="Q74" s="151"/>
      <c r="R74" s="140"/>
      <c r="S74" s="140"/>
    </row>
    <row r="75">
      <c r="A75" s="140"/>
      <c r="B75" s="140"/>
      <c r="C75" s="147">
        <f>IFERROR(__xludf.DUMMYFUNCTION("""COMPUTED_VALUE"""),2809588.0)</f>
        <v>2809588</v>
      </c>
      <c r="D75" s="148" t="str">
        <f>IFERROR(__xludf.DUMMYFUNCTION("""COMPUTED_VALUE"""),"Following the Digital Thread")</f>
        <v>Following the Digital Thread</v>
      </c>
      <c r="E75" s="147" t="str">
        <f>IFERROR(__xludf.DUMMYFUNCTION("""COMPUTED_VALUE"""),"General")</f>
        <v>General</v>
      </c>
      <c r="F75" s="141" t="str">
        <f>IFERROR(__xludf.DUMMYFUNCTION("""COMPUTED_VALUE"""),"General")</f>
        <v>General</v>
      </c>
      <c r="G75" s="143">
        <f>IFERROR(__xludf.DUMMYFUNCTION("""COMPUTED_VALUE"""),0.04043981481481482)</f>
        <v>0.04043981481</v>
      </c>
      <c r="H75" s="151"/>
      <c r="I75" s="140"/>
      <c r="J75" s="140"/>
      <c r="K75" s="140"/>
      <c r="L75" s="147"/>
      <c r="M75" s="153"/>
      <c r="N75" s="147"/>
      <c r="O75" s="141"/>
      <c r="P75" s="141"/>
      <c r="Q75" s="151"/>
      <c r="R75" s="140"/>
      <c r="S75" s="140"/>
    </row>
    <row r="76">
      <c r="A76" s="140"/>
      <c r="B76" s="140"/>
      <c r="C76" s="147">
        <f>IFERROR(__xludf.DUMMYFUNCTION("""COMPUTED_VALUE"""),2874274.0)</f>
        <v>2874274</v>
      </c>
      <c r="D76" s="148" t="str">
        <f>IFERROR(__xludf.DUMMYFUNCTION("""COMPUTED_VALUE"""),"Outsourcing Critical Success Factors")</f>
        <v>Outsourcing Critical Success Factors</v>
      </c>
      <c r="E76" s="147" t="str">
        <f>IFERROR(__xludf.DUMMYFUNCTION("""COMPUTED_VALUE"""),"General")</f>
        <v>General</v>
      </c>
      <c r="F76" s="141" t="str">
        <f>IFERROR(__xludf.DUMMYFUNCTION("""COMPUTED_VALUE"""),"General")</f>
        <v>General</v>
      </c>
      <c r="G76" s="143">
        <f>IFERROR(__xludf.DUMMYFUNCTION("""COMPUTED_VALUE"""),0.0265625)</f>
        <v>0.0265625</v>
      </c>
      <c r="H76" s="151"/>
      <c r="I76" s="140"/>
      <c r="J76" s="140"/>
      <c r="K76" s="140"/>
      <c r="L76" s="147"/>
      <c r="M76" s="153"/>
      <c r="N76" s="147"/>
      <c r="O76" s="141"/>
      <c r="P76" s="141"/>
      <c r="Q76" s="151"/>
      <c r="R76" s="140"/>
      <c r="S76" s="140"/>
    </row>
    <row r="77">
      <c r="A77" s="140"/>
      <c r="B77" s="140"/>
      <c r="C77" s="147">
        <f>IFERROR(__xludf.DUMMYFUNCTION("""COMPUTED_VALUE"""),2874275.0)</f>
        <v>2874275</v>
      </c>
      <c r="D77" s="148" t="str">
        <f>IFERROR(__xludf.DUMMYFUNCTION("""COMPUTED_VALUE"""),"Outsourcing Management")</f>
        <v>Outsourcing Management</v>
      </c>
      <c r="E77" s="147" t="str">
        <f>IFERROR(__xludf.DUMMYFUNCTION("""COMPUTED_VALUE"""),"General")</f>
        <v>General</v>
      </c>
      <c r="F77" s="141" t="str">
        <f>IFERROR(__xludf.DUMMYFUNCTION("""COMPUTED_VALUE"""),"General")</f>
        <v>General</v>
      </c>
      <c r="G77" s="143">
        <f>IFERROR(__xludf.DUMMYFUNCTION("""COMPUTED_VALUE"""),0.02400462962962963)</f>
        <v>0.02400462963</v>
      </c>
      <c r="H77" s="151"/>
      <c r="I77" s="140"/>
      <c r="J77" s="140"/>
      <c r="K77" s="140"/>
      <c r="L77" s="147"/>
      <c r="M77" s="153"/>
      <c r="N77" s="147"/>
      <c r="O77" s="141"/>
      <c r="P77" s="141"/>
      <c r="Q77" s="151"/>
      <c r="R77" s="140"/>
      <c r="S77" s="140"/>
    </row>
    <row r="78">
      <c r="A78" s="140"/>
      <c r="B78" s="140"/>
      <c r="C78" s="147">
        <f>IFERROR(__xludf.DUMMYFUNCTION("""COMPUTED_VALUE"""),2833101.0)</f>
        <v>2833101</v>
      </c>
      <c r="D78" s="148" t="str">
        <f>IFERROR(__xludf.DUMMYFUNCTION("""COMPUTED_VALUE"""),"Content Marketing: ROI")</f>
        <v>Content Marketing: ROI</v>
      </c>
      <c r="E78" s="147" t="str">
        <f>IFERROR(__xludf.DUMMYFUNCTION("""COMPUTED_VALUE"""),"General")</f>
        <v>General</v>
      </c>
      <c r="F78" s="141" t="str">
        <f>IFERROR(__xludf.DUMMYFUNCTION("""COMPUTED_VALUE"""),"Intermediate")</f>
        <v>Intermediate</v>
      </c>
      <c r="G78" s="143">
        <f>IFERROR(__xludf.DUMMYFUNCTION("""COMPUTED_VALUE"""),0.03208333333333333)</f>
        <v>0.03208333333</v>
      </c>
      <c r="H78" s="151"/>
      <c r="I78" s="140"/>
      <c r="J78" s="140"/>
      <c r="K78" s="140"/>
      <c r="L78" s="147"/>
      <c r="M78" s="153"/>
      <c r="N78" s="147"/>
      <c r="O78" s="141"/>
      <c r="P78" s="141"/>
      <c r="Q78" s="151"/>
      <c r="R78" s="140"/>
      <c r="S78" s="140"/>
    </row>
    <row r="79">
      <c r="A79" s="140"/>
      <c r="B79" s="140"/>
      <c r="C79" s="147">
        <f>IFERROR(__xludf.DUMMYFUNCTION("""COMPUTED_VALUE"""),2825616.0)</f>
        <v>2825616</v>
      </c>
      <c r="D79" s="148" t="str">
        <f>IFERROR(__xludf.DUMMYFUNCTION("""COMPUTED_VALUE"""),"Finance Strategies for Business Leaders")</f>
        <v>Finance Strategies for Business Leaders</v>
      </c>
      <c r="E79" s="147" t="str">
        <f>IFERROR(__xludf.DUMMYFUNCTION("""COMPUTED_VALUE"""),"General")</f>
        <v>General</v>
      </c>
      <c r="F79" s="141" t="str">
        <f>IFERROR(__xludf.DUMMYFUNCTION("""COMPUTED_VALUE"""),"Intermediate")</f>
        <v>Intermediate</v>
      </c>
      <c r="G79" s="143">
        <f>IFERROR(__xludf.DUMMYFUNCTION("""COMPUTED_VALUE"""),0.03796296296296296)</f>
        <v>0.03796296296</v>
      </c>
      <c r="H79" s="151"/>
      <c r="I79" s="140"/>
      <c r="J79" s="140"/>
      <c r="K79" s="140"/>
      <c r="L79" s="147"/>
      <c r="M79" s="153"/>
      <c r="N79" s="147"/>
      <c r="O79" s="141"/>
      <c r="P79" s="141"/>
      <c r="Q79" s="151"/>
      <c r="R79" s="140"/>
      <c r="S79" s="140"/>
    </row>
    <row r="80">
      <c r="A80" s="140"/>
      <c r="B80" s="140"/>
      <c r="C80" s="147">
        <f>IFERROR(__xludf.DUMMYFUNCTION("""COMPUTED_VALUE"""),2833073.0)</f>
        <v>2833073</v>
      </c>
      <c r="D80" s="148" t="str">
        <f>IFERROR(__xludf.DUMMYFUNCTION("""COMPUTED_VALUE"""),"Create a Go-to-Market Plan")</f>
        <v>Create a Go-to-Market Plan</v>
      </c>
      <c r="E80" s="147" t="str">
        <f>IFERROR(__xludf.DUMMYFUNCTION("""COMPUTED_VALUE"""),"General")</f>
        <v>General</v>
      </c>
      <c r="F80" s="141" t="str">
        <f>IFERROR(__xludf.DUMMYFUNCTION("""COMPUTED_VALUE"""),"Intermediate")</f>
        <v>Intermediate</v>
      </c>
      <c r="G80" s="143">
        <f>IFERROR(__xludf.DUMMYFUNCTION("""COMPUTED_VALUE"""),0.08354166666666667)</f>
        <v>0.08354166667</v>
      </c>
      <c r="H80" s="151"/>
      <c r="I80" s="140"/>
      <c r="J80" s="140"/>
      <c r="K80" s="140"/>
      <c r="L80" s="147"/>
      <c r="M80" s="153"/>
      <c r="N80" s="147"/>
      <c r="O80" s="141"/>
      <c r="P80" s="141"/>
      <c r="Q80" s="151"/>
      <c r="R80" s="140"/>
      <c r="S80" s="140"/>
    </row>
    <row r="81">
      <c r="A81" s="154"/>
      <c r="B81" s="154"/>
      <c r="C81" s="147">
        <f>IFERROR(__xludf.DUMMYFUNCTION("""COMPUTED_VALUE"""),434461.0)</f>
        <v>434461</v>
      </c>
      <c r="D81" s="148" t="str">
        <f>IFERROR(__xludf.DUMMYFUNCTION("""COMPUTED_VALUE"""),"Strategic Human Resources")</f>
        <v>Strategic Human Resources</v>
      </c>
      <c r="E81" s="147" t="str">
        <f>IFERROR(__xludf.DUMMYFUNCTION("""COMPUTED_VALUE"""),"General")</f>
        <v>General</v>
      </c>
      <c r="F81" s="141" t="str">
        <f>IFERROR(__xludf.DUMMYFUNCTION("""COMPUTED_VALUE"""),"Intermediate")</f>
        <v>Intermediate</v>
      </c>
      <c r="G81" s="143">
        <f>IFERROR(__xludf.DUMMYFUNCTION("""COMPUTED_VALUE"""),0.03778935185185185)</f>
        <v>0.03778935185</v>
      </c>
      <c r="H81" s="151"/>
      <c r="I81" s="154"/>
      <c r="J81" s="154"/>
      <c r="K81" s="154"/>
      <c r="L81" s="147"/>
      <c r="M81" s="153"/>
      <c r="N81" s="147"/>
      <c r="O81" s="141"/>
      <c r="P81" s="141"/>
      <c r="Q81" s="151"/>
      <c r="R81" s="154"/>
      <c r="S81" s="154"/>
    </row>
    <row r="82">
      <c r="A82" s="154"/>
      <c r="B82" s="154"/>
      <c r="C82" s="147">
        <f>IFERROR(__xludf.DUMMYFUNCTION("""COMPUTED_VALUE"""),2823041.0)</f>
        <v>2823041</v>
      </c>
      <c r="D82" s="148" t="str">
        <f>IFERROR(__xludf.DUMMYFUNCTION("""COMPUTED_VALUE"""),"Communicating Change in an Enterprise-Wide Transformation")</f>
        <v>Communicating Change in an Enterprise-Wide Transformation</v>
      </c>
      <c r="E82" s="147" t="str">
        <f>IFERROR(__xludf.DUMMYFUNCTION("""COMPUTED_VALUE"""),"General")</f>
        <v>General</v>
      </c>
      <c r="F82" s="141" t="str">
        <f>IFERROR(__xludf.DUMMYFUNCTION("""COMPUTED_VALUE"""),"Intermediate")</f>
        <v>Intermediate</v>
      </c>
      <c r="G82" s="143">
        <f>IFERROR(__xludf.DUMMYFUNCTION("""COMPUTED_VALUE"""),0.02775462962962963)</f>
        <v>0.02775462963</v>
      </c>
      <c r="H82" s="151"/>
      <c r="I82" s="154"/>
      <c r="J82" s="154"/>
      <c r="K82" s="154"/>
      <c r="L82" s="147"/>
      <c r="M82" s="153"/>
      <c r="N82" s="147"/>
      <c r="O82" s="141"/>
      <c r="P82" s="141"/>
      <c r="Q82" s="151"/>
      <c r="R82" s="154"/>
      <c r="S82" s="154"/>
    </row>
    <row r="83">
      <c r="A83" s="154"/>
      <c r="B83" s="154"/>
      <c r="C83" s="147">
        <f>IFERROR(__xludf.DUMMYFUNCTION("""COMPUTED_VALUE"""),2213244.0)</f>
        <v>2213244</v>
      </c>
      <c r="D83" s="148" t="str">
        <f>IFERROR(__xludf.DUMMYFUNCTION("""COMPUTED_VALUE"""),"Azure for Architects: Design a Migration Strategy")</f>
        <v>Azure for Architects: Design a Migration Strategy</v>
      </c>
      <c r="E83" s="147" t="str">
        <f>IFERROR(__xludf.DUMMYFUNCTION("""COMPUTED_VALUE"""),"General")</f>
        <v>General</v>
      </c>
      <c r="F83" s="141" t="str">
        <f>IFERROR(__xludf.DUMMYFUNCTION("""COMPUTED_VALUE"""),"Intermediate")</f>
        <v>Intermediate</v>
      </c>
      <c r="G83" s="143">
        <f>IFERROR(__xludf.DUMMYFUNCTION("""COMPUTED_VALUE"""),0.05503472222222222)</f>
        <v>0.05503472222</v>
      </c>
      <c r="H83" s="151"/>
      <c r="I83" s="154"/>
      <c r="J83" s="154"/>
      <c r="K83" s="154"/>
      <c r="L83" s="147"/>
      <c r="M83" s="153"/>
      <c r="N83" s="147"/>
      <c r="O83" s="141"/>
      <c r="P83" s="141"/>
      <c r="Q83" s="151"/>
      <c r="R83" s="154"/>
      <c r="S83" s="154"/>
    </row>
    <row r="84">
      <c r="A84" s="154"/>
      <c r="B84" s="154"/>
      <c r="C84" s="147">
        <f>IFERROR(__xludf.DUMMYFUNCTION("""COMPUTED_VALUE"""),2813285.0)</f>
        <v>2813285</v>
      </c>
      <c r="D84" s="148" t="str">
        <f>IFERROR(__xludf.DUMMYFUNCTION("""COMPUTED_VALUE"""),"Ethical Hacking: Cryptography")</f>
        <v>Ethical Hacking: Cryptography</v>
      </c>
      <c r="E84" s="147" t="str">
        <f>IFERROR(__xludf.DUMMYFUNCTION("""COMPUTED_VALUE"""),"General")</f>
        <v>General</v>
      </c>
      <c r="F84" s="141" t="str">
        <f>IFERROR(__xludf.DUMMYFUNCTION("""COMPUTED_VALUE"""),"Intermediate")</f>
        <v>Intermediate</v>
      </c>
      <c r="G84" s="143">
        <f>IFERROR(__xludf.DUMMYFUNCTION("""COMPUTED_VALUE"""),0.04241898148148148)</f>
        <v>0.04241898148</v>
      </c>
      <c r="H84" s="151"/>
      <c r="I84" s="154"/>
      <c r="J84" s="154"/>
      <c r="K84" s="154"/>
      <c r="L84" s="147"/>
      <c r="M84" s="153"/>
      <c r="N84" s="147"/>
      <c r="O84" s="141"/>
      <c r="P84" s="141"/>
      <c r="Q84" s="151"/>
      <c r="R84" s="154"/>
      <c r="S84" s="154"/>
    </row>
    <row r="85">
      <c r="A85" s="154"/>
      <c r="B85" s="154"/>
      <c r="C85" s="147">
        <f>IFERROR(__xludf.DUMMYFUNCTION("""COMPUTED_VALUE"""),2822056.0)</f>
        <v>2822056</v>
      </c>
      <c r="D85" s="148" t="str">
        <f>IFERROR(__xludf.DUMMYFUNCTION("""COMPUTED_VALUE"""),"Azure for Architects: Design a Business Continuity Strategy")</f>
        <v>Azure for Architects: Design a Business Continuity Strategy</v>
      </c>
      <c r="E85" s="147" t="str">
        <f>IFERROR(__xludf.DUMMYFUNCTION("""COMPUTED_VALUE"""),"General")</f>
        <v>General</v>
      </c>
      <c r="F85" s="141" t="str">
        <f>IFERROR(__xludf.DUMMYFUNCTION("""COMPUTED_VALUE"""),"Intermediate")</f>
        <v>Intermediate</v>
      </c>
      <c r="G85" s="143">
        <f>IFERROR(__xludf.DUMMYFUNCTION("""COMPUTED_VALUE"""),0.04667824074074074)</f>
        <v>0.04667824074</v>
      </c>
      <c r="H85" s="151"/>
      <c r="I85" s="154"/>
      <c r="J85" s="154"/>
      <c r="K85" s="154"/>
      <c r="L85" s="147"/>
      <c r="M85" s="153"/>
      <c r="N85" s="147"/>
      <c r="O85" s="141"/>
      <c r="P85" s="141"/>
      <c r="Q85" s="151"/>
      <c r="R85" s="154"/>
      <c r="S85" s="154"/>
    </row>
    <row r="86">
      <c r="A86" s="154"/>
      <c r="B86" s="154"/>
      <c r="C86" s="147">
        <f>IFERROR(__xludf.DUMMYFUNCTION("""COMPUTED_VALUE"""),2825373.0)</f>
        <v>2825373</v>
      </c>
      <c r="D86" s="148" t="str">
        <f>IFERROR(__xludf.DUMMYFUNCTION("""COMPUTED_VALUE"""),"Cybersecurity Foundations")</f>
        <v>Cybersecurity Foundations</v>
      </c>
      <c r="E86" s="147" t="str">
        <f>IFERROR(__xludf.DUMMYFUNCTION("""COMPUTED_VALUE"""),"General")</f>
        <v>General</v>
      </c>
      <c r="F86" s="141" t="str">
        <f>IFERROR(__xludf.DUMMYFUNCTION("""COMPUTED_VALUE"""),"Intermediate")</f>
        <v>Intermediate</v>
      </c>
      <c r="G86" s="143">
        <f>IFERROR(__xludf.DUMMYFUNCTION("""COMPUTED_VALUE"""),0.08328703703703703)</f>
        <v>0.08328703704</v>
      </c>
      <c r="H86" s="151"/>
      <c r="I86" s="154"/>
      <c r="J86" s="154"/>
      <c r="K86" s="154"/>
      <c r="L86" s="147"/>
      <c r="M86" s="153"/>
      <c r="N86" s="147"/>
      <c r="O86" s="141"/>
      <c r="P86" s="141"/>
      <c r="Q86" s="151"/>
      <c r="R86" s="154"/>
      <c r="S86" s="154"/>
    </row>
    <row r="87">
      <c r="A87" s="154"/>
      <c r="B87" s="154"/>
      <c r="C87" s="147"/>
      <c r="D87" s="153"/>
      <c r="E87" s="147"/>
      <c r="F87" s="141"/>
      <c r="G87" s="141"/>
      <c r="H87" s="151"/>
      <c r="I87" s="154"/>
      <c r="J87" s="154"/>
      <c r="K87" s="154"/>
      <c r="L87" s="147"/>
      <c r="M87" s="153"/>
      <c r="N87" s="147"/>
      <c r="O87" s="141"/>
      <c r="P87" s="141"/>
      <c r="Q87" s="151"/>
      <c r="R87" s="154"/>
      <c r="S87" s="154"/>
    </row>
    <row r="88">
      <c r="A88" s="154"/>
      <c r="B88" s="154"/>
      <c r="C88" s="147"/>
      <c r="D88" s="153"/>
      <c r="E88" s="147"/>
      <c r="F88" s="141"/>
      <c r="G88" s="141"/>
      <c r="H88" s="151"/>
      <c r="I88" s="154"/>
      <c r="J88" s="154"/>
      <c r="K88" s="154"/>
      <c r="L88" s="147"/>
      <c r="M88" s="153"/>
      <c r="N88" s="147"/>
      <c r="O88" s="141"/>
      <c r="P88" s="141"/>
      <c r="Q88" s="151"/>
      <c r="R88" s="154"/>
      <c r="S88" s="154"/>
    </row>
    <row r="89">
      <c r="A89" s="154"/>
      <c r="B89" s="154"/>
      <c r="C89" s="147"/>
      <c r="D89" s="153"/>
      <c r="E89" s="147"/>
      <c r="F89" s="141"/>
      <c r="G89" s="141"/>
      <c r="H89" s="151"/>
      <c r="I89" s="154"/>
      <c r="J89" s="154"/>
      <c r="K89" s="154"/>
      <c r="L89" s="147"/>
      <c r="M89" s="153"/>
      <c r="N89" s="147"/>
      <c r="O89" s="141"/>
      <c r="P89" s="141"/>
      <c r="Q89" s="151"/>
      <c r="R89" s="154"/>
      <c r="S89" s="154"/>
    </row>
    <row r="90">
      <c r="A90" s="154"/>
      <c r="B90" s="154"/>
      <c r="C90" s="147"/>
      <c r="D90" s="153"/>
      <c r="E90" s="147"/>
      <c r="F90" s="147"/>
      <c r="G90" s="147"/>
      <c r="H90" s="151"/>
      <c r="I90" s="154"/>
      <c r="J90" s="154"/>
      <c r="K90" s="154"/>
      <c r="L90" s="147"/>
      <c r="M90" s="153"/>
      <c r="N90" s="147"/>
      <c r="O90" s="147"/>
      <c r="P90" s="147"/>
      <c r="Q90" s="151"/>
      <c r="R90" s="154"/>
      <c r="S90" s="154"/>
    </row>
    <row r="91">
      <c r="A91" s="154"/>
      <c r="B91" s="154"/>
      <c r="C91" s="147"/>
      <c r="D91" s="153"/>
      <c r="E91" s="147"/>
      <c r="F91" s="147"/>
      <c r="G91" s="147"/>
      <c r="H91" s="151"/>
      <c r="I91" s="154"/>
      <c r="J91" s="154"/>
      <c r="K91" s="154"/>
      <c r="L91" s="147"/>
      <c r="M91" s="153"/>
      <c r="N91" s="147"/>
      <c r="O91" s="147"/>
      <c r="P91" s="147"/>
      <c r="Q91" s="151"/>
      <c r="R91" s="154"/>
      <c r="S91" s="154"/>
    </row>
    <row r="92">
      <c r="A92" s="154"/>
      <c r="B92" s="154"/>
      <c r="C92" s="147"/>
      <c r="D92" s="153"/>
      <c r="E92" s="147"/>
      <c r="F92" s="147"/>
      <c r="G92" s="147"/>
      <c r="H92" s="151"/>
      <c r="I92" s="154"/>
      <c r="J92" s="154"/>
      <c r="K92" s="154"/>
      <c r="L92" s="147"/>
      <c r="M92" s="153"/>
      <c r="N92" s="147"/>
      <c r="O92" s="147"/>
      <c r="P92" s="147"/>
      <c r="Q92" s="151"/>
      <c r="R92" s="154"/>
      <c r="S92" s="154"/>
    </row>
    <row r="93">
      <c r="A93" s="154"/>
      <c r="B93" s="154"/>
      <c r="C93" s="147"/>
      <c r="D93" s="153"/>
      <c r="E93" s="147"/>
      <c r="F93" s="147"/>
      <c r="G93" s="147"/>
      <c r="H93" s="151"/>
      <c r="I93" s="154"/>
      <c r="J93" s="154"/>
      <c r="K93" s="154"/>
      <c r="L93" s="147"/>
      <c r="M93" s="153"/>
      <c r="N93" s="147"/>
      <c r="O93" s="147"/>
      <c r="P93" s="147"/>
      <c r="Q93" s="151"/>
      <c r="R93" s="154"/>
      <c r="S93" s="154"/>
    </row>
    <row r="94">
      <c r="A94" s="154"/>
      <c r="B94" s="154"/>
      <c r="C94" s="147"/>
      <c r="D94" s="153"/>
      <c r="E94" s="147"/>
      <c r="F94" s="147"/>
      <c r="G94" s="147"/>
      <c r="H94" s="151"/>
      <c r="I94" s="154"/>
      <c r="J94" s="154"/>
      <c r="K94" s="154"/>
      <c r="L94" s="147"/>
      <c r="M94" s="153"/>
      <c r="N94" s="147"/>
      <c r="O94" s="147"/>
      <c r="P94" s="147"/>
      <c r="Q94" s="151"/>
      <c r="R94" s="154"/>
      <c r="S94" s="154"/>
    </row>
    <row r="95">
      <c r="A95" s="154"/>
      <c r="B95" s="154"/>
      <c r="C95" s="147"/>
      <c r="D95" s="153"/>
      <c r="E95" s="147"/>
      <c r="F95" s="147"/>
      <c r="G95" s="147"/>
      <c r="H95" s="151"/>
      <c r="I95" s="154"/>
      <c r="J95" s="154"/>
      <c r="K95" s="154"/>
      <c r="L95" s="147"/>
      <c r="M95" s="153"/>
      <c r="N95" s="147"/>
      <c r="O95" s="147"/>
      <c r="P95" s="147"/>
      <c r="Q95" s="151"/>
      <c r="R95" s="154"/>
      <c r="S95" s="154"/>
    </row>
    <row r="96">
      <c r="A96" s="154"/>
      <c r="B96" s="154"/>
      <c r="C96" s="147"/>
      <c r="D96" s="153"/>
      <c r="E96" s="147"/>
      <c r="F96" s="147"/>
      <c r="G96" s="147"/>
      <c r="H96" s="151"/>
      <c r="I96" s="154"/>
      <c r="J96" s="154"/>
      <c r="K96" s="154"/>
      <c r="L96" s="147"/>
      <c r="M96" s="153"/>
      <c r="N96" s="147"/>
      <c r="O96" s="147"/>
      <c r="P96" s="147"/>
      <c r="Q96" s="151"/>
      <c r="R96" s="154"/>
      <c r="S96" s="154"/>
    </row>
    <row r="97">
      <c r="A97" s="154"/>
      <c r="B97" s="154"/>
      <c r="C97" s="147"/>
      <c r="D97" s="153"/>
      <c r="E97" s="147"/>
      <c r="F97" s="147"/>
      <c r="G97" s="147"/>
      <c r="H97" s="151"/>
      <c r="I97" s="154"/>
      <c r="J97" s="154"/>
      <c r="K97" s="154"/>
      <c r="L97" s="147"/>
      <c r="M97" s="153"/>
      <c r="N97" s="147"/>
      <c r="O97" s="147"/>
      <c r="P97" s="147"/>
      <c r="Q97" s="151"/>
      <c r="R97" s="154"/>
      <c r="S97" s="154"/>
    </row>
    <row r="98">
      <c r="A98" s="154"/>
      <c r="B98" s="154"/>
      <c r="C98" s="147"/>
      <c r="D98" s="153"/>
      <c r="E98" s="147"/>
      <c r="F98" s="147"/>
      <c r="G98" s="147"/>
      <c r="H98" s="151"/>
      <c r="I98" s="154"/>
      <c r="J98" s="154"/>
      <c r="K98" s="154"/>
      <c r="L98" s="147"/>
      <c r="M98" s="153"/>
      <c r="N98" s="147"/>
      <c r="O98" s="147"/>
      <c r="P98" s="147"/>
      <c r="Q98" s="151"/>
      <c r="R98" s="154"/>
      <c r="S98" s="154"/>
    </row>
    <row r="99">
      <c r="A99" s="154"/>
      <c r="B99" s="154"/>
      <c r="C99" s="147"/>
      <c r="D99" s="153"/>
      <c r="E99" s="147"/>
      <c r="F99" s="147"/>
      <c r="G99" s="147"/>
      <c r="H99" s="151"/>
      <c r="I99" s="154"/>
      <c r="J99" s="154"/>
      <c r="K99" s="154"/>
      <c r="L99" s="147"/>
      <c r="M99" s="153"/>
      <c r="N99" s="147"/>
      <c r="O99" s="147"/>
      <c r="P99" s="147"/>
      <c r="Q99" s="151"/>
      <c r="R99" s="154"/>
      <c r="S99" s="154"/>
    </row>
    <row r="100">
      <c r="A100" s="154"/>
      <c r="B100" s="154"/>
      <c r="C100" s="147"/>
      <c r="D100" s="153"/>
      <c r="E100" s="147"/>
      <c r="F100" s="147"/>
      <c r="G100" s="147"/>
      <c r="H100" s="151"/>
      <c r="I100" s="154"/>
      <c r="J100" s="154"/>
      <c r="K100" s="154"/>
      <c r="L100" s="147"/>
      <c r="M100" s="153"/>
      <c r="N100" s="147"/>
      <c r="O100" s="147"/>
      <c r="P100" s="147"/>
      <c r="Q100" s="151"/>
      <c r="R100" s="154"/>
      <c r="S100" s="154"/>
    </row>
    <row r="101">
      <c r="A101" s="154"/>
      <c r="B101" s="154"/>
      <c r="C101" s="147"/>
      <c r="D101" s="153"/>
      <c r="E101" s="147"/>
      <c r="F101" s="147"/>
      <c r="G101" s="147"/>
      <c r="H101" s="151"/>
      <c r="I101" s="154"/>
      <c r="J101" s="154"/>
      <c r="K101" s="154"/>
      <c r="L101" s="155"/>
      <c r="M101" s="156"/>
      <c r="N101" s="155"/>
      <c r="O101" s="155"/>
      <c r="P101" s="155"/>
      <c r="Q101" s="157"/>
      <c r="R101" s="154"/>
      <c r="S101" s="154"/>
    </row>
    <row r="102">
      <c r="A102" s="154"/>
      <c r="B102" s="154"/>
      <c r="C102" s="147"/>
      <c r="D102" s="153"/>
      <c r="E102" s="147"/>
      <c r="F102" s="147"/>
      <c r="G102" s="147"/>
      <c r="H102" s="151"/>
      <c r="I102" s="154"/>
      <c r="J102" s="154"/>
      <c r="K102" s="154"/>
      <c r="L102" s="155"/>
      <c r="M102" s="156"/>
      <c r="N102" s="155"/>
      <c r="O102" s="155"/>
      <c r="P102" s="155"/>
      <c r="Q102" s="157"/>
      <c r="R102" s="154"/>
      <c r="S102" s="154"/>
    </row>
    <row r="103">
      <c r="A103" s="154"/>
      <c r="B103" s="154"/>
      <c r="C103" s="147"/>
      <c r="D103" s="153"/>
      <c r="E103" s="147"/>
      <c r="F103" s="147"/>
      <c r="G103" s="147"/>
      <c r="H103" s="151"/>
      <c r="I103" s="154"/>
      <c r="J103" s="154"/>
      <c r="K103" s="154"/>
      <c r="L103" s="155"/>
      <c r="M103" s="156"/>
      <c r="N103" s="155"/>
      <c r="O103" s="155"/>
      <c r="P103" s="155"/>
      <c r="Q103" s="157"/>
      <c r="R103" s="154"/>
      <c r="S103" s="154"/>
    </row>
    <row r="104">
      <c r="A104" s="154"/>
      <c r="B104" s="154"/>
      <c r="C104" s="147"/>
      <c r="D104" s="153"/>
      <c r="E104" s="147"/>
      <c r="F104" s="147"/>
      <c r="G104" s="147"/>
      <c r="H104" s="151"/>
      <c r="I104" s="154"/>
      <c r="J104" s="154"/>
      <c r="K104" s="154"/>
      <c r="L104" s="155"/>
      <c r="M104" s="156"/>
      <c r="N104" s="155"/>
      <c r="O104" s="155"/>
      <c r="P104" s="155"/>
      <c r="Q104" s="157"/>
      <c r="R104" s="154"/>
      <c r="S104" s="154"/>
    </row>
    <row r="105">
      <c r="A105" s="154"/>
      <c r="B105" s="154"/>
      <c r="C105" s="155"/>
      <c r="D105" s="156"/>
      <c r="E105" s="155"/>
      <c r="F105" s="155"/>
      <c r="G105" s="155"/>
      <c r="H105" s="157"/>
      <c r="I105" s="154"/>
      <c r="J105" s="154"/>
      <c r="K105" s="154"/>
      <c r="L105" s="155"/>
      <c r="M105" s="156"/>
      <c r="N105" s="155"/>
      <c r="O105" s="155"/>
      <c r="P105" s="155"/>
      <c r="Q105" s="157"/>
      <c r="R105" s="154"/>
      <c r="S105" s="154"/>
    </row>
    <row r="106">
      <c r="A106" s="154"/>
      <c r="B106" s="154"/>
      <c r="C106" s="155"/>
      <c r="D106" s="156"/>
      <c r="E106" s="155"/>
      <c r="F106" s="155"/>
      <c r="G106" s="155"/>
      <c r="H106" s="157"/>
      <c r="I106" s="154"/>
      <c r="J106" s="154"/>
      <c r="K106" s="154"/>
      <c r="L106" s="155"/>
      <c r="M106" s="156"/>
      <c r="N106" s="155"/>
      <c r="O106" s="155"/>
      <c r="P106" s="155"/>
      <c r="Q106" s="157"/>
      <c r="R106" s="154"/>
      <c r="S106" s="154"/>
    </row>
    <row r="107">
      <c r="A107" s="154"/>
      <c r="B107" s="154"/>
      <c r="C107" s="155"/>
      <c r="D107" s="156"/>
      <c r="E107" s="155"/>
      <c r="F107" s="155"/>
      <c r="G107" s="155"/>
      <c r="H107" s="157"/>
      <c r="I107" s="154"/>
      <c r="J107" s="154"/>
      <c r="K107" s="154"/>
      <c r="L107" s="155"/>
      <c r="M107" s="156"/>
      <c r="N107" s="155"/>
      <c r="O107" s="155"/>
      <c r="P107" s="155"/>
      <c r="Q107" s="157"/>
      <c r="R107" s="154"/>
      <c r="S107" s="154"/>
    </row>
    <row r="108">
      <c r="A108" s="154"/>
      <c r="B108" s="154"/>
      <c r="C108" s="155"/>
      <c r="D108" s="156"/>
      <c r="E108" s="155"/>
      <c r="F108" s="155"/>
      <c r="G108" s="155"/>
      <c r="H108" s="157"/>
      <c r="I108" s="154"/>
      <c r="J108" s="154"/>
      <c r="K108" s="154"/>
      <c r="L108" s="155"/>
      <c r="M108" s="156"/>
      <c r="N108" s="155"/>
      <c r="O108" s="155"/>
      <c r="P108" s="155"/>
      <c r="Q108" s="157"/>
      <c r="R108" s="154"/>
      <c r="S108" s="154"/>
    </row>
    <row r="109">
      <c r="A109" s="154"/>
      <c r="B109" s="154"/>
      <c r="C109" s="155"/>
      <c r="D109" s="156"/>
      <c r="E109" s="155"/>
      <c r="F109" s="155"/>
      <c r="G109" s="155"/>
      <c r="H109" s="157"/>
      <c r="I109" s="154"/>
      <c r="J109" s="154"/>
      <c r="K109" s="154"/>
      <c r="L109" s="155"/>
      <c r="M109" s="156"/>
      <c r="N109" s="155"/>
      <c r="O109" s="155"/>
      <c r="P109" s="155"/>
      <c r="Q109" s="157"/>
      <c r="R109" s="154"/>
      <c r="S109" s="154"/>
    </row>
    <row r="110">
      <c r="A110" s="154"/>
      <c r="B110" s="154"/>
      <c r="C110" s="155"/>
      <c r="D110" s="156"/>
      <c r="E110" s="155"/>
      <c r="F110" s="155"/>
      <c r="G110" s="155"/>
      <c r="H110" s="157"/>
      <c r="I110" s="154"/>
      <c r="J110" s="154"/>
      <c r="K110" s="154"/>
      <c r="L110" s="155"/>
      <c r="M110" s="156"/>
      <c r="N110" s="155"/>
      <c r="O110" s="155"/>
      <c r="P110" s="155"/>
      <c r="Q110" s="157"/>
      <c r="R110" s="154"/>
      <c r="S110" s="154"/>
    </row>
    <row r="111">
      <c r="A111" s="154"/>
      <c r="B111" s="154"/>
      <c r="C111" s="155"/>
      <c r="D111" s="156"/>
      <c r="E111" s="155"/>
      <c r="F111" s="155"/>
      <c r="G111" s="155"/>
      <c r="H111" s="157"/>
      <c r="I111" s="154"/>
      <c r="J111" s="154"/>
      <c r="K111" s="154"/>
      <c r="L111" s="155"/>
      <c r="M111" s="156"/>
      <c r="N111" s="155"/>
      <c r="O111" s="155"/>
      <c r="P111" s="155"/>
      <c r="Q111" s="157"/>
      <c r="R111" s="154"/>
      <c r="S111" s="154"/>
    </row>
    <row r="112">
      <c r="A112" s="154"/>
      <c r="B112" s="154"/>
      <c r="C112" s="155"/>
      <c r="D112" s="156"/>
      <c r="E112" s="155"/>
      <c r="F112" s="155"/>
      <c r="G112" s="155"/>
      <c r="H112" s="157"/>
      <c r="I112" s="154"/>
      <c r="J112" s="154"/>
      <c r="K112" s="154"/>
      <c r="L112" s="155"/>
      <c r="M112" s="156"/>
      <c r="N112" s="155"/>
      <c r="O112" s="155"/>
      <c r="P112" s="155"/>
      <c r="Q112" s="157"/>
      <c r="R112" s="154"/>
      <c r="S112" s="154"/>
    </row>
    <row r="113">
      <c r="A113" s="154"/>
      <c r="B113" s="154"/>
      <c r="C113" s="155"/>
      <c r="D113" s="156"/>
      <c r="E113" s="155"/>
      <c r="F113" s="155"/>
      <c r="G113" s="155"/>
      <c r="H113" s="157"/>
      <c r="I113" s="154"/>
      <c r="J113" s="154"/>
      <c r="K113" s="154"/>
      <c r="L113" s="155"/>
      <c r="M113" s="156"/>
      <c r="N113" s="155"/>
      <c r="O113" s="155"/>
      <c r="P113" s="155"/>
      <c r="Q113" s="157"/>
      <c r="R113" s="154"/>
      <c r="S113" s="154"/>
    </row>
    <row r="114">
      <c r="A114" s="154"/>
      <c r="B114" s="154"/>
      <c r="C114" s="155"/>
      <c r="D114" s="156"/>
      <c r="E114" s="155"/>
      <c r="F114" s="155"/>
      <c r="G114" s="155"/>
      <c r="H114" s="157"/>
      <c r="I114" s="154"/>
      <c r="J114" s="154"/>
      <c r="K114" s="154"/>
      <c r="L114" s="155"/>
      <c r="M114" s="156"/>
      <c r="N114" s="155"/>
      <c r="O114" s="155"/>
      <c r="P114" s="155"/>
      <c r="Q114" s="157"/>
      <c r="R114" s="154"/>
      <c r="S114" s="154"/>
    </row>
    <row r="115">
      <c r="A115" s="154"/>
      <c r="B115" s="154"/>
      <c r="C115" s="155"/>
      <c r="D115" s="156"/>
      <c r="E115" s="155"/>
      <c r="F115" s="155"/>
      <c r="G115" s="155"/>
      <c r="H115" s="157"/>
      <c r="I115" s="154"/>
      <c r="J115" s="154"/>
      <c r="K115" s="154"/>
      <c r="L115" s="155"/>
      <c r="M115" s="156"/>
      <c r="N115" s="155"/>
      <c r="O115" s="155"/>
      <c r="P115" s="155"/>
      <c r="Q115" s="157"/>
      <c r="R115" s="154"/>
      <c r="S115" s="154"/>
    </row>
    <row r="116">
      <c r="A116" s="154"/>
      <c r="B116" s="154"/>
      <c r="C116" s="155"/>
      <c r="D116" s="156"/>
      <c r="E116" s="155"/>
      <c r="F116" s="155"/>
      <c r="G116" s="155"/>
      <c r="H116" s="157"/>
      <c r="I116" s="154"/>
      <c r="J116" s="154"/>
      <c r="K116" s="154"/>
      <c r="L116" s="155"/>
      <c r="M116" s="156"/>
      <c r="N116" s="155"/>
      <c r="O116" s="155"/>
      <c r="P116" s="155"/>
      <c r="Q116" s="157"/>
      <c r="R116" s="154"/>
      <c r="S116" s="154"/>
    </row>
    <row r="117">
      <c r="A117" s="154"/>
      <c r="B117" s="154"/>
      <c r="C117" s="155"/>
      <c r="D117" s="156"/>
      <c r="E117" s="155"/>
      <c r="F117" s="155"/>
      <c r="G117" s="155"/>
      <c r="H117" s="157"/>
      <c r="I117" s="154"/>
      <c r="J117" s="154"/>
      <c r="K117" s="154"/>
      <c r="L117" s="155"/>
      <c r="M117" s="156"/>
      <c r="N117" s="155"/>
      <c r="O117" s="155"/>
      <c r="P117" s="155"/>
      <c r="Q117" s="157"/>
      <c r="R117" s="154"/>
      <c r="S117" s="154"/>
    </row>
    <row r="118">
      <c r="A118" s="154"/>
      <c r="B118" s="154"/>
      <c r="C118" s="155"/>
      <c r="D118" s="156"/>
      <c r="E118" s="155"/>
      <c r="F118" s="155"/>
      <c r="G118" s="155"/>
      <c r="H118" s="157"/>
      <c r="I118" s="154"/>
      <c r="J118" s="154"/>
      <c r="K118" s="154"/>
      <c r="L118" s="155"/>
      <c r="M118" s="156"/>
      <c r="N118" s="155"/>
      <c r="O118" s="155"/>
      <c r="P118" s="155"/>
      <c r="Q118" s="157"/>
      <c r="R118" s="154"/>
      <c r="S118" s="154"/>
    </row>
    <row r="119">
      <c r="A119" s="154"/>
      <c r="B119" s="154"/>
      <c r="C119" s="155"/>
      <c r="D119" s="156"/>
      <c r="E119" s="155"/>
      <c r="F119" s="155"/>
      <c r="G119" s="155"/>
      <c r="H119" s="157"/>
      <c r="I119" s="154"/>
      <c r="J119" s="154"/>
      <c r="K119" s="154"/>
      <c r="L119" s="155"/>
      <c r="M119" s="156"/>
      <c r="N119" s="155"/>
      <c r="O119" s="155"/>
      <c r="P119" s="155"/>
      <c r="Q119" s="157"/>
      <c r="R119" s="154"/>
      <c r="S119" s="154"/>
    </row>
    <row r="120">
      <c r="A120" s="154"/>
      <c r="B120" s="154"/>
      <c r="C120" s="155"/>
      <c r="D120" s="156"/>
      <c r="E120" s="155"/>
      <c r="F120" s="155"/>
      <c r="G120" s="155"/>
      <c r="H120" s="157"/>
      <c r="I120" s="154"/>
      <c r="J120" s="154"/>
      <c r="K120" s="154"/>
      <c r="L120" s="155"/>
      <c r="M120" s="156"/>
      <c r="N120" s="155"/>
      <c r="O120" s="155"/>
      <c r="P120" s="155"/>
      <c r="Q120" s="157"/>
      <c r="R120" s="154"/>
      <c r="S120" s="154"/>
    </row>
    <row r="121">
      <c r="A121" s="154"/>
      <c r="B121" s="154"/>
      <c r="C121" s="155"/>
      <c r="D121" s="156"/>
      <c r="E121" s="155"/>
      <c r="F121" s="155"/>
      <c r="G121" s="155"/>
      <c r="H121" s="157"/>
      <c r="I121" s="154"/>
      <c r="J121" s="154"/>
      <c r="K121" s="154"/>
      <c r="L121" s="155"/>
      <c r="M121" s="156"/>
      <c r="N121" s="155"/>
      <c r="O121" s="155"/>
      <c r="P121" s="155"/>
      <c r="Q121" s="157"/>
      <c r="R121" s="154"/>
      <c r="S121" s="154"/>
    </row>
    <row r="122">
      <c r="A122" s="154"/>
      <c r="B122" s="154"/>
      <c r="C122" s="155"/>
      <c r="D122" s="156"/>
      <c r="E122" s="155"/>
      <c r="F122" s="155"/>
      <c r="G122" s="155"/>
      <c r="H122" s="157"/>
      <c r="I122" s="154"/>
      <c r="J122" s="154"/>
      <c r="K122" s="154"/>
      <c r="L122" s="155"/>
      <c r="M122" s="156"/>
      <c r="N122" s="155"/>
      <c r="O122" s="155"/>
      <c r="P122" s="155"/>
      <c r="Q122" s="157"/>
      <c r="R122" s="154"/>
      <c r="S122" s="154"/>
    </row>
    <row r="123">
      <c r="A123" s="154"/>
      <c r="B123" s="154"/>
      <c r="C123" s="155"/>
      <c r="D123" s="156"/>
      <c r="E123" s="155"/>
      <c r="F123" s="155"/>
      <c r="G123" s="155"/>
      <c r="H123" s="157"/>
      <c r="I123" s="154"/>
      <c r="J123" s="154"/>
      <c r="K123" s="154"/>
      <c r="L123" s="155"/>
      <c r="M123" s="156"/>
      <c r="N123" s="155"/>
      <c r="O123" s="155"/>
      <c r="P123" s="155"/>
      <c r="Q123" s="157"/>
      <c r="R123" s="154"/>
      <c r="S123" s="154"/>
    </row>
    <row r="124">
      <c r="A124" s="154"/>
      <c r="B124" s="154"/>
      <c r="C124" s="155"/>
      <c r="D124" s="156"/>
      <c r="E124" s="155"/>
      <c r="F124" s="155"/>
      <c r="G124" s="155"/>
      <c r="H124" s="157"/>
      <c r="I124" s="154"/>
      <c r="J124" s="154"/>
      <c r="K124" s="154"/>
      <c r="L124" s="155"/>
      <c r="M124" s="156"/>
      <c r="N124" s="155"/>
      <c r="O124" s="155"/>
      <c r="P124" s="155"/>
      <c r="Q124" s="157"/>
      <c r="R124" s="154"/>
      <c r="S124" s="154"/>
    </row>
    <row r="125">
      <c r="A125" s="154"/>
      <c r="B125" s="154"/>
      <c r="C125" s="155"/>
      <c r="D125" s="156"/>
      <c r="E125" s="155"/>
      <c r="F125" s="155"/>
      <c r="G125" s="155"/>
      <c r="H125" s="157"/>
      <c r="I125" s="154"/>
      <c r="J125" s="154"/>
      <c r="K125" s="154"/>
      <c r="L125" s="155"/>
      <c r="M125" s="156"/>
      <c r="N125" s="155"/>
      <c r="O125" s="155"/>
      <c r="P125" s="155"/>
      <c r="Q125" s="157"/>
      <c r="R125" s="154"/>
      <c r="S125" s="154"/>
    </row>
    <row r="126">
      <c r="A126" s="154"/>
      <c r="B126" s="154"/>
      <c r="C126" s="155"/>
      <c r="D126" s="156"/>
      <c r="E126" s="155"/>
      <c r="F126" s="155"/>
      <c r="G126" s="155"/>
      <c r="H126" s="157"/>
      <c r="I126" s="154"/>
      <c r="J126" s="154"/>
      <c r="K126" s="154"/>
      <c r="L126" s="155"/>
      <c r="M126" s="156"/>
      <c r="N126" s="155"/>
      <c r="O126" s="155"/>
      <c r="P126" s="155"/>
      <c r="Q126" s="157"/>
      <c r="R126" s="154"/>
      <c r="S126" s="154"/>
    </row>
    <row r="127">
      <c r="A127" s="154"/>
      <c r="B127" s="154"/>
      <c r="C127" s="155"/>
      <c r="D127" s="156"/>
      <c r="E127" s="155"/>
      <c r="F127" s="155"/>
      <c r="G127" s="155"/>
      <c r="H127" s="157"/>
      <c r="I127" s="154"/>
      <c r="J127" s="154"/>
      <c r="K127" s="154"/>
      <c r="L127" s="155"/>
      <c r="M127" s="156"/>
      <c r="N127" s="155"/>
      <c r="O127" s="155"/>
      <c r="P127" s="155"/>
      <c r="Q127" s="157"/>
      <c r="R127" s="154"/>
      <c r="S127" s="154"/>
    </row>
    <row r="128">
      <c r="A128" s="154"/>
      <c r="B128" s="154"/>
      <c r="C128" s="155"/>
      <c r="D128" s="156"/>
      <c r="E128" s="155"/>
      <c r="F128" s="155"/>
      <c r="G128" s="155"/>
      <c r="H128" s="157"/>
      <c r="I128" s="154"/>
      <c r="J128" s="154"/>
      <c r="K128" s="154"/>
      <c r="L128" s="155"/>
      <c r="M128" s="156"/>
      <c r="N128" s="155"/>
      <c r="O128" s="155"/>
      <c r="P128" s="155"/>
      <c r="Q128" s="157"/>
      <c r="R128" s="154"/>
      <c r="S128" s="154"/>
    </row>
    <row r="129">
      <c r="A129" s="154"/>
      <c r="B129" s="154"/>
      <c r="C129" s="155"/>
      <c r="D129" s="156"/>
      <c r="E129" s="155"/>
      <c r="F129" s="155"/>
      <c r="G129" s="155"/>
      <c r="H129" s="157"/>
      <c r="I129" s="154"/>
      <c r="J129" s="154"/>
      <c r="K129" s="154"/>
      <c r="L129" s="155"/>
      <c r="M129" s="156"/>
      <c r="N129" s="155"/>
      <c r="O129" s="155"/>
      <c r="P129" s="155"/>
      <c r="Q129" s="157"/>
      <c r="R129" s="154"/>
      <c r="S129" s="154"/>
    </row>
    <row r="130">
      <c r="A130" s="154"/>
      <c r="B130" s="154"/>
      <c r="C130" s="155"/>
      <c r="D130" s="156"/>
      <c r="E130" s="155"/>
      <c r="F130" s="155"/>
      <c r="G130" s="155"/>
      <c r="H130" s="157"/>
      <c r="I130" s="154"/>
      <c r="J130" s="154"/>
      <c r="K130" s="154"/>
      <c r="L130" s="155"/>
      <c r="M130" s="156"/>
      <c r="N130" s="155"/>
      <c r="O130" s="155"/>
      <c r="P130" s="155"/>
      <c r="Q130" s="157"/>
      <c r="R130" s="154"/>
      <c r="S130" s="154"/>
    </row>
    <row r="131">
      <c r="A131" s="154"/>
      <c r="B131" s="154"/>
      <c r="C131" s="155"/>
      <c r="D131" s="156"/>
      <c r="E131" s="155"/>
      <c r="F131" s="155"/>
      <c r="G131" s="155"/>
      <c r="H131" s="157"/>
      <c r="I131" s="154"/>
      <c r="J131" s="154"/>
      <c r="K131" s="154"/>
      <c r="L131" s="155"/>
      <c r="M131" s="156"/>
      <c r="N131" s="155"/>
      <c r="O131" s="155"/>
      <c r="P131" s="155"/>
      <c r="Q131" s="157"/>
      <c r="R131" s="154"/>
      <c r="S131" s="154"/>
    </row>
    <row r="132">
      <c r="A132" s="154"/>
      <c r="B132" s="154"/>
      <c r="C132" s="155"/>
      <c r="D132" s="156"/>
      <c r="E132" s="155"/>
      <c r="F132" s="155"/>
      <c r="G132" s="155"/>
      <c r="H132" s="157"/>
      <c r="I132" s="154"/>
      <c r="J132" s="154"/>
      <c r="K132" s="154"/>
      <c r="L132" s="155"/>
      <c r="M132" s="156"/>
      <c r="N132" s="155"/>
      <c r="O132" s="155"/>
      <c r="P132" s="155"/>
      <c r="Q132" s="157"/>
      <c r="R132" s="154"/>
      <c r="S132" s="154"/>
    </row>
    <row r="133">
      <c r="A133" s="154"/>
      <c r="B133" s="154"/>
      <c r="C133" s="155"/>
      <c r="D133" s="156"/>
      <c r="E133" s="155"/>
      <c r="F133" s="155"/>
      <c r="G133" s="155"/>
      <c r="H133" s="157"/>
      <c r="I133" s="154"/>
      <c r="J133" s="154"/>
      <c r="K133" s="154"/>
      <c r="L133" s="155"/>
      <c r="M133" s="156"/>
      <c r="N133" s="155"/>
      <c r="O133" s="155"/>
      <c r="P133" s="155"/>
      <c r="Q133" s="157"/>
      <c r="R133" s="154"/>
      <c r="S133" s="154"/>
    </row>
    <row r="134">
      <c r="A134" s="154"/>
      <c r="B134" s="154"/>
      <c r="C134" s="155"/>
      <c r="D134" s="156"/>
      <c r="E134" s="155"/>
      <c r="F134" s="155"/>
      <c r="G134" s="155"/>
      <c r="H134" s="157"/>
      <c r="I134" s="154"/>
      <c r="J134" s="154"/>
      <c r="K134" s="154"/>
      <c r="L134" s="155"/>
      <c r="M134" s="156"/>
      <c r="N134" s="155"/>
      <c r="O134" s="155"/>
      <c r="P134" s="155"/>
      <c r="Q134" s="157"/>
      <c r="R134" s="154"/>
      <c r="S134" s="154"/>
    </row>
    <row r="135">
      <c r="A135" s="154"/>
      <c r="B135" s="154"/>
      <c r="C135" s="155"/>
      <c r="D135" s="156"/>
      <c r="E135" s="155"/>
      <c r="F135" s="155"/>
      <c r="G135" s="155"/>
      <c r="H135" s="157"/>
      <c r="I135" s="154"/>
      <c r="J135" s="154"/>
      <c r="K135" s="154"/>
      <c r="L135" s="155"/>
      <c r="M135" s="156"/>
      <c r="N135" s="155"/>
      <c r="O135" s="155"/>
      <c r="P135" s="155"/>
      <c r="Q135" s="157"/>
      <c r="R135" s="154"/>
      <c r="S135" s="154"/>
    </row>
    <row r="136">
      <c r="A136" s="154"/>
      <c r="B136" s="154"/>
      <c r="C136" s="155"/>
      <c r="D136" s="156"/>
      <c r="E136" s="155"/>
      <c r="F136" s="155"/>
      <c r="G136" s="155"/>
      <c r="H136" s="157"/>
      <c r="I136" s="154"/>
      <c r="J136" s="154"/>
      <c r="K136" s="154"/>
      <c r="L136" s="155"/>
      <c r="M136" s="156"/>
      <c r="N136" s="155"/>
      <c r="O136" s="155"/>
      <c r="P136" s="155"/>
      <c r="Q136" s="157"/>
      <c r="R136" s="154"/>
      <c r="S136" s="154"/>
    </row>
    <row r="137">
      <c r="A137" s="154"/>
      <c r="B137" s="154"/>
      <c r="C137" s="155"/>
      <c r="D137" s="156"/>
      <c r="E137" s="155"/>
      <c r="F137" s="155"/>
      <c r="G137" s="155"/>
      <c r="H137" s="157"/>
      <c r="I137" s="154"/>
      <c r="J137" s="154"/>
      <c r="K137" s="154"/>
      <c r="L137" s="155"/>
      <c r="M137" s="156"/>
      <c r="N137" s="155"/>
      <c r="O137" s="155"/>
      <c r="P137" s="155"/>
      <c r="Q137" s="157"/>
      <c r="R137" s="154"/>
      <c r="S137" s="154"/>
    </row>
    <row r="138">
      <c r="A138" s="154"/>
      <c r="B138" s="154"/>
      <c r="C138" s="155"/>
      <c r="D138" s="156"/>
      <c r="E138" s="155"/>
      <c r="F138" s="155"/>
      <c r="G138" s="155"/>
      <c r="H138" s="157"/>
      <c r="I138" s="154"/>
      <c r="J138" s="154"/>
      <c r="K138" s="154"/>
      <c r="L138" s="155"/>
      <c r="M138" s="156"/>
      <c r="N138" s="155"/>
      <c r="O138" s="155"/>
      <c r="P138" s="155"/>
      <c r="Q138" s="157"/>
      <c r="R138" s="154"/>
      <c r="S138" s="154"/>
    </row>
    <row r="139">
      <c r="A139" s="154"/>
      <c r="B139" s="154"/>
      <c r="C139" s="155"/>
      <c r="D139" s="156"/>
      <c r="E139" s="155"/>
      <c r="F139" s="155"/>
      <c r="G139" s="155"/>
      <c r="H139" s="157"/>
      <c r="I139" s="154"/>
      <c r="J139" s="154"/>
      <c r="K139" s="154"/>
      <c r="L139" s="155"/>
      <c r="M139" s="156"/>
      <c r="N139" s="155"/>
      <c r="O139" s="155"/>
      <c r="P139" s="155"/>
      <c r="Q139" s="157"/>
      <c r="R139" s="154"/>
      <c r="S139" s="154"/>
    </row>
    <row r="140">
      <c r="A140" s="154"/>
      <c r="B140" s="154"/>
      <c r="C140" s="155"/>
      <c r="D140" s="156"/>
      <c r="E140" s="155"/>
      <c r="F140" s="155"/>
      <c r="G140" s="155"/>
      <c r="H140" s="157"/>
      <c r="I140" s="154"/>
      <c r="J140" s="154"/>
      <c r="K140" s="154"/>
      <c r="L140" s="155"/>
      <c r="M140" s="156"/>
      <c r="N140" s="155"/>
      <c r="O140" s="155"/>
      <c r="P140" s="155"/>
      <c r="Q140" s="157"/>
      <c r="R140" s="154"/>
      <c r="S140" s="154"/>
    </row>
    <row r="141">
      <c r="A141" s="154"/>
      <c r="B141" s="154"/>
      <c r="C141" s="155"/>
      <c r="D141" s="156"/>
      <c r="E141" s="155"/>
      <c r="F141" s="155"/>
      <c r="G141" s="155"/>
      <c r="H141" s="157"/>
      <c r="I141" s="154"/>
      <c r="J141" s="154"/>
      <c r="K141" s="154"/>
      <c r="L141" s="155"/>
      <c r="M141" s="156"/>
      <c r="N141" s="155"/>
      <c r="O141" s="155"/>
      <c r="P141" s="155"/>
      <c r="Q141" s="157"/>
      <c r="R141" s="154"/>
      <c r="S141" s="154"/>
    </row>
    <row r="142">
      <c r="A142" s="154"/>
      <c r="B142" s="154"/>
      <c r="C142" s="155"/>
      <c r="D142" s="156"/>
      <c r="E142" s="155"/>
      <c r="F142" s="155"/>
      <c r="G142" s="155"/>
      <c r="H142" s="157"/>
      <c r="I142" s="154"/>
      <c r="J142" s="154"/>
      <c r="K142" s="154"/>
      <c r="L142" s="155"/>
      <c r="M142" s="156"/>
      <c r="N142" s="155"/>
      <c r="O142" s="155"/>
      <c r="P142" s="155"/>
      <c r="Q142" s="157"/>
      <c r="R142" s="154"/>
      <c r="S142" s="154"/>
    </row>
    <row r="143">
      <c r="A143" s="154"/>
      <c r="B143" s="154"/>
      <c r="C143" s="155"/>
      <c r="D143" s="156"/>
      <c r="E143" s="155"/>
      <c r="F143" s="155"/>
      <c r="G143" s="155"/>
      <c r="H143" s="157"/>
      <c r="I143" s="154"/>
      <c r="J143" s="154"/>
      <c r="K143" s="154"/>
      <c r="L143" s="155"/>
      <c r="M143" s="156"/>
      <c r="N143" s="155"/>
      <c r="O143" s="155"/>
      <c r="P143" s="155"/>
      <c r="Q143" s="157"/>
      <c r="R143" s="154"/>
      <c r="S143" s="154"/>
    </row>
    <row r="144">
      <c r="A144" s="154"/>
      <c r="B144" s="154"/>
      <c r="C144" s="155"/>
      <c r="D144" s="156"/>
      <c r="E144" s="155"/>
      <c r="F144" s="155"/>
      <c r="G144" s="155"/>
      <c r="H144" s="157"/>
      <c r="I144" s="154"/>
      <c r="J144" s="154"/>
      <c r="K144" s="154"/>
      <c r="L144" s="155"/>
      <c r="M144" s="156"/>
      <c r="N144" s="155"/>
      <c r="O144" s="155"/>
      <c r="P144" s="155"/>
      <c r="Q144" s="157"/>
      <c r="R144" s="154"/>
      <c r="S144" s="154"/>
    </row>
    <row r="145">
      <c r="A145" s="154"/>
      <c r="B145" s="154"/>
      <c r="C145" s="155"/>
      <c r="D145" s="156"/>
      <c r="E145" s="155"/>
      <c r="F145" s="155"/>
      <c r="G145" s="155"/>
      <c r="H145" s="157"/>
      <c r="I145" s="154"/>
      <c r="J145" s="154"/>
      <c r="K145" s="154"/>
      <c r="L145" s="155"/>
      <c r="M145" s="156"/>
      <c r="N145" s="155"/>
      <c r="O145" s="155"/>
      <c r="P145" s="155"/>
      <c r="Q145" s="157"/>
      <c r="R145" s="154"/>
      <c r="S145" s="154"/>
    </row>
    <row r="146">
      <c r="A146" s="154"/>
      <c r="B146" s="154"/>
      <c r="C146" s="155"/>
      <c r="D146" s="156"/>
      <c r="E146" s="155"/>
      <c r="F146" s="155"/>
      <c r="G146" s="155"/>
      <c r="H146" s="157"/>
      <c r="I146" s="154"/>
      <c r="J146" s="154"/>
      <c r="K146" s="154"/>
      <c r="L146" s="155"/>
      <c r="M146" s="156"/>
      <c r="N146" s="155"/>
      <c r="O146" s="155"/>
      <c r="P146" s="155"/>
      <c r="Q146" s="157"/>
      <c r="R146" s="154"/>
      <c r="S146" s="154"/>
    </row>
    <row r="147">
      <c r="A147" s="154"/>
      <c r="B147" s="154"/>
      <c r="C147" s="155"/>
      <c r="D147" s="156"/>
      <c r="E147" s="155"/>
      <c r="F147" s="155"/>
      <c r="G147" s="155"/>
      <c r="H147" s="157"/>
      <c r="I147" s="154"/>
      <c r="J147" s="154"/>
      <c r="K147" s="154"/>
      <c r="L147" s="155"/>
      <c r="M147" s="156"/>
      <c r="N147" s="155"/>
      <c r="O147" s="155"/>
      <c r="P147" s="155"/>
      <c r="Q147" s="157"/>
      <c r="R147" s="154"/>
      <c r="S147" s="154"/>
    </row>
    <row r="148">
      <c r="A148" s="154"/>
      <c r="B148" s="154"/>
      <c r="C148" s="155"/>
      <c r="D148" s="156"/>
      <c r="E148" s="155"/>
      <c r="F148" s="155"/>
      <c r="G148" s="155"/>
      <c r="H148" s="157"/>
      <c r="I148" s="154"/>
      <c r="J148" s="154"/>
      <c r="K148" s="154"/>
      <c r="L148" s="155"/>
      <c r="M148" s="156"/>
      <c r="N148" s="155"/>
      <c r="O148" s="155"/>
      <c r="P148" s="155"/>
      <c r="Q148" s="157"/>
      <c r="R148" s="154"/>
      <c r="S148" s="154"/>
    </row>
    <row r="149">
      <c r="A149" s="154"/>
      <c r="B149" s="154"/>
      <c r="C149" s="155"/>
      <c r="D149" s="156"/>
      <c r="E149" s="155"/>
      <c r="F149" s="155"/>
      <c r="G149" s="155"/>
      <c r="H149" s="157"/>
      <c r="I149" s="154"/>
      <c r="J149" s="154"/>
      <c r="K149" s="154"/>
      <c r="L149" s="155"/>
      <c r="M149" s="156"/>
      <c r="N149" s="155"/>
      <c r="O149" s="155"/>
      <c r="P149" s="155"/>
      <c r="Q149" s="157"/>
      <c r="R149" s="154"/>
      <c r="S149" s="154"/>
    </row>
    <row r="150">
      <c r="A150" s="154"/>
      <c r="B150" s="154"/>
      <c r="C150" s="155"/>
      <c r="D150" s="156"/>
      <c r="E150" s="155"/>
      <c r="F150" s="155"/>
      <c r="G150" s="155"/>
      <c r="H150" s="157"/>
      <c r="I150" s="154"/>
      <c r="J150" s="154"/>
      <c r="K150" s="154"/>
      <c r="L150" s="155"/>
      <c r="M150" s="156"/>
      <c r="N150" s="155"/>
      <c r="O150" s="155"/>
      <c r="P150" s="155"/>
      <c r="Q150" s="157"/>
      <c r="R150" s="154"/>
      <c r="S150" s="154"/>
    </row>
    <row r="151">
      <c r="A151" s="154"/>
      <c r="B151" s="154"/>
      <c r="C151" s="155"/>
      <c r="D151" s="156"/>
      <c r="E151" s="155"/>
      <c r="F151" s="155"/>
      <c r="G151" s="155"/>
      <c r="H151" s="157"/>
      <c r="I151" s="154"/>
      <c r="J151" s="154"/>
      <c r="K151" s="154"/>
      <c r="L151" s="155"/>
      <c r="M151" s="156"/>
      <c r="N151" s="155"/>
      <c r="O151" s="155"/>
      <c r="P151" s="155"/>
      <c r="Q151" s="157"/>
      <c r="R151" s="154"/>
      <c r="S151" s="154"/>
    </row>
    <row r="152">
      <c r="A152" s="154"/>
      <c r="B152" s="154"/>
      <c r="C152" s="155"/>
      <c r="D152" s="156"/>
      <c r="E152" s="155"/>
      <c r="F152" s="155"/>
      <c r="G152" s="155"/>
      <c r="H152" s="157"/>
      <c r="I152" s="154"/>
      <c r="J152" s="154"/>
      <c r="K152" s="154"/>
      <c r="L152" s="155"/>
      <c r="M152" s="156"/>
      <c r="N152" s="155"/>
      <c r="O152" s="155"/>
      <c r="P152" s="155"/>
      <c r="Q152" s="157"/>
      <c r="R152" s="154"/>
      <c r="S152" s="154"/>
    </row>
    <row r="153">
      <c r="A153" s="154"/>
      <c r="B153" s="154"/>
      <c r="C153" s="155"/>
      <c r="D153" s="156"/>
      <c r="E153" s="155"/>
      <c r="F153" s="155"/>
      <c r="G153" s="155"/>
      <c r="H153" s="157"/>
      <c r="I153" s="154"/>
      <c r="J153" s="154"/>
      <c r="K153" s="154"/>
      <c r="L153" s="155"/>
      <c r="M153" s="156"/>
      <c r="N153" s="155"/>
      <c r="O153" s="155"/>
      <c r="P153" s="155"/>
      <c r="Q153" s="157"/>
      <c r="R153" s="154"/>
      <c r="S153" s="154"/>
    </row>
    <row r="154">
      <c r="A154" s="154"/>
      <c r="B154" s="154"/>
      <c r="C154" s="155"/>
      <c r="D154" s="156"/>
      <c r="E154" s="155"/>
      <c r="F154" s="155"/>
      <c r="G154" s="155"/>
      <c r="H154" s="157"/>
      <c r="I154" s="154"/>
      <c r="J154" s="154"/>
      <c r="K154" s="154"/>
      <c r="L154" s="155"/>
      <c r="M154" s="156"/>
      <c r="N154" s="155"/>
      <c r="O154" s="155"/>
      <c r="P154" s="155"/>
      <c r="Q154" s="157"/>
      <c r="R154" s="154"/>
      <c r="S154" s="154"/>
    </row>
    <row r="155">
      <c r="A155" s="154"/>
      <c r="B155" s="154"/>
      <c r="C155" s="155"/>
      <c r="D155" s="156"/>
      <c r="E155" s="155"/>
      <c r="F155" s="155"/>
      <c r="G155" s="155"/>
      <c r="H155" s="157"/>
      <c r="I155" s="154"/>
      <c r="J155" s="154"/>
      <c r="K155" s="154"/>
      <c r="L155" s="155"/>
      <c r="M155" s="156"/>
      <c r="N155" s="155"/>
      <c r="O155" s="155"/>
      <c r="P155" s="155"/>
      <c r="Q155" s="157"/>
      <c r="R155" s="154"/>
      <c r="S155" s="154"/>
    </row>
    <row r="156">
      <c r="A156" s="154"/>
      <c r="B156" s="154"/>
      <c r="C156" s="155"/>
      <c r="D156" s="156"/>
      <c r="E156" s="155"/>
      <c r="F156" s="155"/>
      <c r="G156" s="155"/>
      <c r="H156" s="157"/>
      <c r="I156" s="154"/>
      <c r="J156" s="154"/>
      <c r="K156" s="154"/>
      <c r="L156" s="155"/>
      <c r="M156" s="156"/>
      <c r="N156" s="155"/>
      <c r="O156" s="155"/>
      <c r="P156" s="155"/>
      <c r="Q156" s="157"/>
      <c r="R156" s="154"/>
      <c r="S156" s="154"/>
    </row>
    <row r="157">
      <c r="A157" s="154"/>
      <c r="B157" s="154"/>
      <c r="C157" s="155"/>
      <c r="D157" s="156"/>
      <c r="E157" s="155"/>
      <c r="F157" s="155"/>
      <c r="G157" s="155"/>
      <c r="H157" s="157"/>
      <c r="I157" s="154"/>
      <c r="J157" s="154"/>
      <c r="K157" s="154"/>
      <c r="L157" s="155"/>
      <c r="M157" s="156"/>
      <c r="N157" s="155"/>
      <c r="O157" s="155"/>
      <c r="P157" s="155"/>
      <c r="Q157" s="157"/>
      <c r="R157" s="154"/>
      <c r="S157" s="154"/>
    </row>
    <row r="158">
      <c r="A158" s="154"/>
      <c r="B158" s="154"/>
      <c r="C158" s="155"/>
      <c r="D158" s="156"/>
      <c r="E158" s="155"/>
      <c r="F158" s="155"/>
      <c r="G158" s="155"/>
      <c r="H158" s="157"/>
      <c r="I158" s="154"/>
      <c r="J158" s="154"/>
      <c r="K158" s="154"/>
      <c r="L158" s="155"/>
      <c r="M158" s="156"/>
      <c r="N158" s="155"/>
      <c r="O158" s="155"/>
      <c r="P158" s="155"/>
      <c r="Q158" s="157"/>
      <c r="R158" s="154"/>
      <c r="S158" s="154"/>
    </row>
    <row r="159">
      <c r="A159" s="154"/>
      <c r="B159" s="154"/>
      <c r="C159" s="155"/>
      <c r="D159" s="156"/>
      <c r="E159" s="155"/>
      <c r="F159" s="155"/>
      <c r="G159" s="155"/>
      <c r="H159" s="157"/>
      <c r="I159" s="154"/>
      <c r="J159" s="154"/>
      <c r="K159" s="154"/>
      <c r="L159" s="155"/>
      <c r="M159" s="156"/>
      <c r="N159" s="155"/>
      <c r="O159" s="155"/>
      <c r="P159" s="155"/>
      <c r="Q159" s="157"/>
      <c r="R159" s="154"/>
      <c r="S159" s="154"/>
    </row>
    <row r="160">
      <c r="A160" s="154"/>
      <c r="B160" s="154"/>
      <c r="C160" s="155"/>
      <c r="D160" s="156"/>
      <c r="E160" s="155"/>
      <c r="F160" s="155"/>
      <c r="G160" s="155"/>
      <c r="H160" s="157"/>
      <c r="I160" s="154"/>
      <c r="J160" s="154"/>
      <c r="K160" s="154"/>
      <c r="L160" s="155"/>
      <c r="M160" s="156"/>
      <c r="N160" s="155"/>
      <c r="O160" s="155"/>
      <c r="P160" s="155"/>
      <c r="Q160" s="157"/>
      <c r="R160" s="154"/>
      <c r="S160" s="154"/>
    </row>
    <row r="161">
      <c r="A161" s="154"/>
      <c r="B161" s="154"/>
      <c r="C161" s="155"/>
      <c r="D161" s="156"/>
      <c r="E161" s="155"/>
      <c r="F161" s="155"/>
      <c r="G161" s="155"/>
      <c r="H161" s="157"/>
      <c r="I161" s="154"/>
      <c r="J161" s="154"/>
      <c r="K161" s="154"/>
      <c r="L161" s="155"/>
      <c r="M161" s="156"/>
      <c r="N161" s="155"/>
      <c r="O161" s="155"/>
      <c r="P161" s="155"/>
      <c r="Q161" s="157"/>
      <c r="R161" s="154"/>
      <c r="S161" s="154"/>
    </row>
    <row r="162">
      <c r="A162" s="154"/>
      <c r="B162" s="154"/>
      <c r="C162" s="155"/>
      <c r="D162" s="156"/>
      <c r="E162" s="155"/>
      <c r="F162" s="155"/>
      <c r="G162" s="155"/>
      <c r="H162" s="157"/>
      <c r="I162" s="154"/>
      <c r="J162" s="154"/>
      <c r="K162" s="154"/>
      <c r="L162" s="155"/>
      <c r="M162" s="156"/>
      <c r="N162" s="155"/>
      <c r="O162" s="155"/>
      <c r="P162" s="155"/>
      <c r="Q162" s="157"/>
      <c r="R162" s="154"/>
      <c r="S162" s="154"/>
    </row>
    <row r="163">
      <c r="A163" s="154"/>
      <c r="B163" s="154"/>
      <c r="C163" s="155"/>
      <c r="D163" s="156"/>
      <c r="E163" s="155"/>
      <c r="F163" s="155"/>
      <c r="G163" s="155"/>
      <c r="H163" s="157"/>
      <c r="I163" s="154"/>
      <c r="J163" s="154"/>
      <c r="K163" s="154"/>
      <c r="L163" s="155"/>
      <c r="M163" s="156"/>
      <c r="N163" s="155"/>
      <c r="O163" s="155"/>
      <c r="P163" s="155"/>
      <c r="Q163" s="157"/>
      <c r="R163" s="154"/>
      <c r="S163" s="154"/>
    </row>
    <row r="164">
      <c r="A164" s="154"/>
      <c r="B164" s="154"/>
      <c r="C164" s="155"/>
      <c r="D164" s="156"/>
      <c r="E164" s="155"/>
      <c r="F164" s="155"/>
      <c r="G164" s="155"/>
      <c r="H164" s="157"/>
      <c r="I164" s="154"/>
      <c r="J164" s="154"/>
      <c r="K164" s="154"/>
      <c r="L164" s="155"/>
      <c r="M164" s="156"/>
      <c r="N164" s="155"/>
      <c r="O164" s="155"/>
      <c r="P164" s="155"/>
      <c r="Q164" s="157"/>
      <c r="R164" s="154"/>
      <c r="S164" s="154"/>
    </row>
    <row r="165">
      <c r="A165" s="154"/>
      <c r="B165" s="154"/>
      <c r="C165" s="155"/>
      <c r="D165" s="156"/>
      <c r="E165" s="155"/>
      <c r="F165" s="155"/>
      <c r="G165" s="155"/>
      <c r="H165" s="157"/>
      <c r="I165" s="154"/>
      <c r="J165" s="154"/>
      <c r="K165" s="154"/>
      <c r="L165" s="155"/>
      <c r="M165" s="156"/>
      <c r="N165" s="155"/>
      <c r="O165" s="155"/>
      <c r="P165" s="155"/>
      <c r="Q165" s="157"/>
      <c r="R165" s="154"/>
      <c r="S165" s="154"/>
    </row>
    <row r="166">
      <c r="A166" s="154"/>
      <c r="B166" s="154"/>
      <c r="C166" s="155"/>
      <c r="D166" s="156"/>
      <c r="E166" s="155"/>
      <c r="F166" s="155"/>
      <c r="G166" s="155"/>
      <c r="H166" s="157"/>
      <c r="I166" s="154"/>
      <c r="J166" s="154"/>
      <c r="K166" s="154"/>
      <c r="L166" s="155"/>
      <c r="M166" s="156"/>
      <c r="N166" s="155"/>
      <c r="O166" s="155"/>
      <c r="P166" s="155"/>
      <c r="Q166" s="157"/>
      <c r="R166" s="154"/>
      <c r="S166" s="154"/>
    </row>
    <row r="167">
      <c r="A167" s="154"/>
      <c r="B167" s="154"/>
      <c r="C167" s="155"/>
      <c r="D167" s="156"/>
      <c r="E167" s="155"/>
      <c r="F167" s="155"/>
      <c r="G167" s="155"/>
      <c r="H167" s="157"/>
      <c r="I167" s="154"/>
      <c r="J167" s="154"/>
      <c r="K167" s="154"/>
      <c r="L167" s="155"/>
      <c r="M167" s="156"/>
      <c r="N167" s="155"/>
      <c r="O167" s="155"/>
      <c r="P167" s="155"/>
      <c r="Q167" s="157"/>
      <c r="R167" s="154"/>
      <c r="S167" s="154"/>
    </row>
    <row r="168">
      <c r="A168" s="154"/>
      <c r="B168" s="154"/>
      <c r="C168" s="155"/>
      <c r="D168" s="156"/>
      <c r="E168" s="155"/>
      <c r="F168" s="155"/>
      <c r="G168" s="155"/>
      <c r="H168" s="157"/>
      <c r="I168" s="154"/>
      <c r="J168" s="154"/>
      <c r="K168" s="154"/>
      <c r="L168" s="155"/>
      <c r="M168" s="156"/>
      <c r="N168" s="155"/>
      <c r="O168" s="155"/>
      <c r="P168" s="155"/>
      <c r="Q168" s="157"/>
      <c r="R168" s="154"/>
      <c r="S168" s="154"/>
    </row>
    <row r="169">
      <c r="A169" s="154"/>
      <c r="B169" s="154"/>
      <c r="C169" s="155"/>
      <c r="D169" s="156"/>
      <c r="E169" s="155"/>
      <c r="F169" s="155"/>
      <c r="G169" s="155"/>
      <c r="H169" s="157"/>
      <c r="I169" s="154"/>
      <c r="J169" s="154"/>
      <c r="K169" s="154"/>
      <c r="L169" s="155"/>
      <c r="M169" s="156"/>
      <c r="N169" s="155"/>
      <c r="O169" s="155"/>
      <c r="P169" s="155"/>
      <c r="Q169" s="157"/>
      <c r="R169" s="154"/>
      <c r="S169" s="154"/>
    </row>
    <row r="170">
      <c r="A170" s="154"/>
      <c r="B170" s="154"/>
      <c r="C170" s="155"/>
      <c r="D170" s="156"/>
      <c r="E170" s="155"/>
      <c r="F170" s="155"/>
      <c r="G170" s="155"/>
      <c r="H170" s="157"/>
      <c r="I170" s="154"/>
      <c r="J170" s="154"/>
      <c r="K170" s="154"/>
      <c r="L170" s="155"/>
      <c r="M170" s="156"/>
      <c r="N170" s="155"/>
      <c r="O170" s="155"/>
      <c r="P170" s="155"/>
      <c r="Q170" s="157"/>
      <c r="R170" s="154"/>
      <c r="S170" s="154"/>
    </row>
    <row r="171">
      <c r="A171" s="154"/>
      <c r="B171" s="154"/>
      <c r="C171" s="155"/>
      <c r="D171" s="156"/>
      <c r="E171" s="155"/>
      <c r="F171" s="155"/>
      <c r="G171" s="155"/>
      <c r="H171" s="157"/>
      <c r="I171" s="154"/>
      <c r="J171" s="154"/>
      <c r="K171" s="154"/>
      <c r="L171" s="155"/>
      <c r="M171" s="156"/>
      <c r="N171" s="155"/>
      <c r="O171" s="155"/>
      <c r="P171" s="155"/>
      <c r="Q171" s="157"/>
      <c r="R171" s="154"/>
      <c r="S171" s="154"/>
    </row>
    <row r="172">
      <c r="A172" s="154"/>
      <c r="B172" s="154"/>
      <c r="C172" s="155"/>
      <c r="D172" s="156"/>
      <c r="E172" s="155"/>
      <c r="F172" s="155"/>
      <c r="G172" s="155"/>
      <c r="H172" s="157"/>
      <c r="I172" s="154"/>
      <c r="J172" s="154"/>
      <c r="K172" s="154"/>
      <c r="L172" s="155"/>
      <c r="M172" s="156"/>
      <c r="N172" s="155"/>
      <c r="O172" s="155"/>
      <c r="P172" s="155"/>
      <c r="Q172" s="157"/>
      <c r="R172" s="154"/>
      <c r="S172" s="154"/>
    </row>
    <row r="173">
      <c r="A173" s="154"/>
      <c r="B173" s="154"/>
      <c r="C173" s="155"/>
      <c r="D173" s="156"/>
      <c r="E173" s="155"/>
      <c r="F173" s="155"/>
      <c r="G173" s="155"/>
      <c r="H173" s="157"/>
      <c r="I173" s="154"/>
      <c r="J173" s="154"/>
      <c r="K173" s="154"/>
      <c r="L173" s="155"/>
      <c r="M173" s="156"/>
      <c r="N173" s="155"/>
      <c r="O173" s="155"/>
      <c r="P173" s="155"/>
      <c r="Q173" s="157"/>
      <c r="R173" s="154"/>
      <c r="S173" s="154"/>
    </row>
    <row r="174">
      <c r="A174" s="154"/>
      <c r="B174" s="154"/>
      <c r="C174" s="155"/>
      <c r="D174" s="156"/>
      <c r="E174" s="155"/>
      <c r="F174" s="155"/>
      <c r="G174" s="155"/>
      <c r="H174" s="157"/>
      <c r="I174" s="154"/>
      <c r="J174" s="154"/>
      <c r="K174" s="154"/>
      <c r="L174" s="155"/>
      <c r="M174" s="156"/>
      <c r="N174" s="155"/>
      <c r="O174" s="155"/>
      <c r="P174" s="155"/>
      <c r="Q174" s="157"/>
      <c r="R174" s="154"/>
      <c r="S174" s="154"/>
    </row>
    <row r="175">
      <c r="A175" s="154"/>
      <c r="B175" s="154"/>
      <c r="C175" s="155"/>
      <c r="D175" s="156"/>
      <c r="E175" s="155"/>
      <c r="F175" s="155"/>
      <c r="G175" s="155"/>
      <c r="H175" s="157"/>
      <c r="I175" s="154"/>
      <c r="J175" s="154"/>
      <c r="K175" s="154"/>
      <c r="L175" s="155"/>
      <c r="M175" s="156"/>
      <c r="N175" s="155"/>
      <c r="O175" s="155"/>
      <c r="P175" s="155"/>
      <c r="Q175" s="157"/>
      <c r="R175" s="154"/>
      <c r="S175" s="154"/>
    </row>
    <row r="176">
      <c r="A176" s="154"/>
      <c r="B176" s="154"/>
      <c r="C176" s="155"/>
      <c r="D176" s="156"/>
      <c r="E176" s="155"/>
      <c r="F176" s="155"/>
      <c r="G176" s="155"/>
      <c r="H176" s="157"/>
      <c r="I176" s="154"/>
      <c r="J176" s="154"/>
      <c r="K176" s="154"/>
      <c r="L176" s="155"/>
      <c r="M176" s="156"/>
      <c r="N176" s="155"/>
      <c r="O176" s="155"/>
      <c r="P176" s="155"/>
      <c r="Q176" s="157"/>
      <c r="R176" s="154"/>
      <c r="S176" s="154"/>
    </row>
    <row r="177">
      <c r="A177" s="154"/>
      <c r="B177" s="154"/>
      <c r="C177" s="155"/>
      <c r="D177" s="156"/>
      <c r="E177" s="155"/>
      <c r="F177" s="155"/>
      <c r="G177" s="155"/>
      <c r="H177" s="157"/>
      <c r="I177" s="154"/>
      <c r="J177" s="154"/>
      <c r="K177" s="154"/>
      <c r="L177" s="155"/>
      <c r="M177" s="156"/>
      <c r="N177" s="155"/>
      <c r="O177" s="155"/>
      <c r="P177" s="155"/>
      <c r="Q177" s="157"/>
      <c r="R177" s="154"/>
      <c r="S177" s="154"/>
    </row>
    <row r="178">
      <c r="A178" s="154"/>
      <c r="B178" s="154"/>
      <c r="C178" s="155"/>
      <c r="D178" s="156"/>
      <c r="E178" s="155"/>
      <c r="F178" s="155"/>
      <c r="G178" s="155"/>
      <c r="H178" s="157"/>
      <c r="I178" s="154"/>
      <c r="J178" s="154"/>
      <c r="K178" s="154"/>
      <c r="L178" s="155"/>
      <c r="M178" s="156"/>
      <c r="N178" s="155"/>
      <c r="O178" s="155"/>
      <c r="P178" s="155"/>
      <c r="Q178" s="157"/>
      <c r="R178" s="154"/>
      <c r="S178" s="154"/>
    </row>
    <row r="179">
      <c r="A179" s="154"/>
      <c r="B179" s="154"/>
      <c r="C179" s="155"/>
      <c r="D179" s="156"/>
      <c r="E179" s="155"/>
      <c r="F179" s="155"/>
      <c r="G179" s="155"/>
      <c r="H179" s="157"/>
      <c r="I179" s="154"/>
      <c r="J179" s="154"/>
      <c r="K179" s="154"/>
      <c r="L179" s="155"/>
      <c r="M179" s="156"/>
      <c r="N179" s="155"/>
      <c r="O179" s="155"/>
      <c r="P179" s="155"/>
      <c r="Q179" s="157"/>
      <c r="R179" s="154"/>
      <c r="S179" s="154"/>
    </row>
    <row r="180">
      <c r="A180" s="154"/>
      <c r="B180" s="154"/>
      <c r="C180" s="155"/>
      <c r="D180" s="156"/>
      <c r="E180" s="155"/>
      <c r="F180" s="155"/>
      <c r="G180" s="155"/>
      <c r="H180" s="157"/>
      <c r="I180" s="154"/>
      <c r="J180" s="154"/>
      <c r="K180" s="154"/>
      <c r="L180" s="155"/>
      <c r="M180" s="156"/>
      <c r="N180" s="155"/>
      <c r="O180" s="155"/>
      <c r="P180" s="155"/>
      <c r="Q180" s="157"/>
      <c r="R180" s="154"/>
      <c r="S180" s="154"/>
    </row>
    <row r="181">
      <c r="A181" s="154"/>
      <c r="B181" s="154"/>
      <c r="C181" s="155"/>
      <c r="D181" s="156"/>
      <c r="E181" s="155"/>
      <c r="F181" s="155"/>
      <c r="G181" s="155"/>
      <c r="H181" s="157"/>
      <c r="I181" s="154"/>
      <c r="J181" s="154"/>
      <c r="K181" s="154"/>
      <c r="L181" s="155"/>
      <c r="M181" s="156"/>
      <c r="N181" s="155"/>
      <c r="O181" s="155"/>
      <c r="P181" s="155"/>
      <c r="Q181" s="157"/>
      <c r="R181" s="154"/>
      <c r="S181" s="154"/>
    </row>
    <row r="182">
      <c r="A182" s="154"/>
      <c r="B182" s="154"/>
      <c r="C182" s="155"/>
      <c r="D182" s="156"/>
      <c r="E182" s="155"/>
      <c r="F182" s="155"/>
      <c r="G182" s="155"/>
      <c r="H182" s="157"/>
      <c r="I182" s="154"/>
      <c r="J182" s="154"/>
      <c r="K182" s="154"/>
      <c r="L182" s="155"/>
      <c r="M182" s="156"/>
      <c r="N182" s="155"/>
      <c r="O182" s="155"/>
      <c r="P182" s="155"/>
      <c r="Q182" s="157"/>
      <c r="R182" s="154"/>
      <c r="S182" s="154"/>
    </row>
    <row r="183">
      <c r="A183" s="154"/>
      <c r="B183" s="154"/>
      <c r="C183" s="155"/>
      <c r="D183" s="156"/>
      <c r="E183" s="155"/>
      <c r="F183" s="155"/>
      <c r="G183" s="155"/>
      <c r="H183" s="157"/>
      <c r="I183" s="154"/>
      <c r="J183" s="154"/>
      <c r="K183" s="154"/>
      <c r="L183" s="155"/>
      <c r="M183" s="156"/>
      <c r="N183" s="155"/>
      <c r="O183" s="155"/>
      <c r="P183" s="155"/>
      <c r="Q183" s="157"/>
      <c r="R183" s="154"/>
      <c r="S183" s="154"/>
    </row>
    <row r="184">
      <c r="A184" s="154"/>
      <c r="B184" s="154"/>
      <c r="C184" s="155"/>
      <c r="D184" s="156"/>
      <c r="E184" s="155"/>
      <c r="F184" s="155"/>
      <c r="G184" s="155"/>
      <c r="H184" s="157"/>
      <c r="I184" s="154"/>
      <c r="J184" s="154"/>
      <c r="K184" s="154"/>
      <c r="L184" s="155"/>
      <c r="M184" s="156"/>
      <c r="N184" s="155"/>
      <c r="O184" s="155"/>
      <c r="P184" s="155"/>
      <c r="Q184" s="157"/>
      <c r="R184" s="154"/>
      <c r="S184" s="154"/>
    </row>
    <row r="185">
      <c r="A185" s="154"/>
      <c r="B185" s="154"/>
      <c r="C185" s="155"/>
      <c r="D185" s="156"/>
      <c r="E185" s="155"/>
      <c r="F185" s="155"/>
      <c r="G185" s="155"/>
      <c r="H185" s="157"/>
      <c r="I185" s="154"/>
      <c r="J185" s="154"/>
      <c r="K185" s="154"/>
      <c r="L185" s="155"/>
      <c r="M185" s="156"/>
      <c r="N185" s="155"/>
      <c r="O185" s="155"/>
      <c r="P185" s="155"/>
      <c r="Q185" s="157"/>
      <c r="R185" s="154"/>
      <c r="S185" s="154"/>
    </row>
    <row r="186">
      <c r="A186" s="154"/>
      <c r="B186" s="154"/>
      <c r="C186" s="155"/>
      <c r="D186" s="156"/>
      <c r="E186" s="155"/>
      <c r="F186" s="155"/>
      <c r="G186" s="155"/>
      <c r="H186" s="157"/>
      <c r="I186" s="154"/>
      <c r="J186" s="154"/>
      <c r="K186" s="154"/>
      <c r="L186" s="155"/>
      <c r="M186" s="156"/>
      <c r="N186" s="155"/>
      <c r="O186" s="155"/>
      <c r="P186" s="155"/>
      <c r="Q186" s="157"/>
      <c r="R186" s="154"/>
      <c r="S186" s="154"/>
    </row>
    <row r="187">
      <c r="A187" s="154"/>
      <c r="B187" s="154"/>
      <c r="C187" s="155"/>
      <c r="D187" s="156"/>
      <c r="E187" s="155"/>
      <c r="F187" s="155"/>
      <c r="G187" s="155"/>
      <c r="H187" s="157"/>
      <c r="I187" s="154"/>
      <c r="J187" s="154"/>
      <c r="K187" s="154"/>
      <c r="L187" s="155"/>
      <c r="M187" s="156"/>
      <c r="N187" s="155"/>
      <c r="O187" s="155"/>
      <c r="P187" s="155"/>
      <c r="Q187" s="157"/>
      <c r="R187" s="154"/>
      <c r="S187" s="154"/>
    </row>
    <row r="188">
      <c r="A188" s="154"/>
      <c r="B188" s="154"/>
      <c r="C188" s="155"/>
      <c r="D188" s="156"/>
      <c r="E188" s="155"/>
      <c r="F188" s="155"/>
      <c r="G188" s="155"/>
      <c r="H188" s="157"/>
      <c r="I188" s="154"/>
      <c r="J188" s="154"/>
      <c r="K188" s="154"/>
      <c r="L188" s="155"/>
      <c r="M188" s="156"/>
      <c r="N188" s="155"/>
      <c r="O188" s="155"/>
      <c r="P188" s="155"/>
      <c r="Q188" s="157"/>
      <c r="R188" s="154"/>
      <c r="S188" s="154"/>
    </row>
    <row r="189">
      <c r="A189" s="154"/>
      <c r="B189" s="154"/>
      <c r="C189" s="155"/>
      <c r="D189" s="156"/>
      <c r="E189" s="155"/>
      <c r="F189" s="155"/>
      <c r="G189" s="155"/>
      <c r="H189" s="157"/>
      <c r="I189" s="154"/>
      <c r="J189" s="154"/>
      <c r="K189" s="154"/>
      <c r="L189" s="155"/>
      <c r="M189" s="156"/>
      <c r="N189" s="155"/>
      <c r="O189" s="155"/>
      <c r="P189" s="155"/>
      <c r="Q189" s="157"/>
      <c r="R189" s="154"/>
      <c r="S189" s="154"/>
    </row>
    <row r="190">
      <c r="A190" s="154"/>
      <c r="B190" s="154"/>
      <c r="C190" s="155"/>
      <c r="D190" s="156"/>
      <c r="E190" s="155"/>
      <c r="F190" s="155"/>
      <c r="G190" s="155"/>
      <c r="H190" s="157"/>
      <c r="I190" s="154"/>
      <c r="J190" s="154"/>
      <c r="K190" s="154"/>
      <c r="L190" s="155"/>
      <c r="M190" s="156"/>
      <c r="N190" s="155"/>
      <c r="O190" s="155"/>
      <c r="P190" s="155"/>
      <c r="Q190" s="157"/>
      <c r="R190" s="154"/>
      <c r="S190" s="154"/>
    </row>
    <row r="191">
      <c r="A191" s="154"/>
      <c r="B191" s="154"/>
      <c r="C191" s="155"/>
      <c r="D191" s="156"/>
      <c r="E191" s="155"/>
      <c r="F191" s="155"/>
      <c r="G191" s="155"/>
      <c r="H191" s="157"/>
      <c r="I191" s="154"/>
      <c r="J191" s="154"/>
      <c r="K191" s="154"/>
      <c r="L191" s="155"/>
      <c r="M191" s="156"/>
      <c r="N191" s="155"/>
      <c r="O191" s="155"/>
      <c r="P191" s="155"/>
      <c r="Q191" s="157"/>
      <c r="R191" s="154"/>
      <c r="S191" s="154"/>
    </row>
    <row r="192">
      <c r="A192" s="154"/>
      <c r="B192" s="154"/>
      <c r="C192" s="155"/>
      <c r="D192" s="156"/>
      <c r="E192" s="155"/>
      <c r="F192" s="155"/>
      <c r="G192" s="155"/>
      <c r="H192" s="157"/>
      <c r="I192" s="154"/>
      <c r="J192" s="154"/>
      <c r="K192" s="154"/>
      <c r="L192" s="155"/>
      <c r="M192" s="156"/>
      <c r="N192" s="155"/>
      <c r="O192" s="155"/>
      <c r="P192" s="155"/>
      <c r="Q192" s="157"/>
      <c r="R192" s="154"/>
      <c r="S192" s="154"/>
    </row>
    <row r="193">
      <c r="A193" s="154"/>
      <c r="B193" s="154"/>
      <c r="C193" s="155"/>
      <c r="D193" s="156"/>
      <c r="E193" s="155"/>
      <c r="F193" s="155"/>
      <c r="G193" s="155"/>
      <c r="H193" s="157"/>
      <c r="I193" s="154"/>
      <c r="J193" s="154"/>
      <c r="K193" s="154"/>
      <c r="L193" s="155"/>
      <c r="M193" s="156"/>
      <c r="N193" s="155"/>
      <c r="O193" s="155"/>
      <c r="P193" s="155"/>
      <c r="Q193" s="157"/>
      <c r="R193" s="154"/>
      <c r="S193" s="154"/>
    </row>
    <row r="194">
      <c r="A194" s="154"/>
      <c r="B194" s="154"/>
      <c r="C194" s="155"/>
      <c r="D194" s="156"/>
      <c r="E194" s="155"/>
      <c r="F194" s="155"/>
      <c r="G194" s="155"/>
      <c r="H194" s="157"/>
      <c r="I194" s="154"/>
      <c r="J194" s="154"/>
      <c r="K194" s="154"/>
      <c r="L194" s="155"/>
      <c r="M194" s="156"/>
      <c r="N194" s="155"/>
      <c r="O194" s="155"/>
      <c r="P194" s="155"/>
      <c r="Q194" s="157"/>
      <c r="R194" s="154"/>
      <c r="S194" s="154"/>
    </row>
    <row r="195">
      <c r="A195" s="154"/>
      <c r="B195" s="154"/>
      <c r="C195" s="155"/>
      <c r="D195" s="156"/>
      <c r="E195" s="155"/>
      <c r="F195" s="155"/>
      <c r="G195" s="155"/>
      <c r="H195" s="157"/>
      <c r="I195" s="154"/>
      <c r="J195" s="154"/>
      <c r="K195" s="154"/>
      <c r="L195" s="155"/>
      <c r="M195" s="156"/>
      <c r="N195" s="155"/>
      <c r="O195" s="155"/>
      <c r="P195" s="155"/>
      <c r="Q195" s="157"/>
      <c r="R195" s="154"/>
      <c r="S195" s="154"/>
    </row>
    <row r="196">
      <c r="A196" s="154"/>
      <c r="B196" s="154"/>
      <c r="C196" s="155"/>
      <c r="D196" s="156"/>
      <c r="E196" s="155"/>
      <c r="F196" s="155"/>
      <c r="G196" s="155"/>
      <c r="H196" s="157"/>
      <c r="I196" s="154"/>
      <c r="J196" s="154"/>
      <c r="K196" s="154"/>
      <c r="L196" s="155"/>
      <c r="M196" s="156"/>
      <c r="N196" s="155"/>
      <c r="O196" s="155"/>
      <c r="P196" s="155"/>
      <c r="Q196" s="157"/>
      <c r="R196" s="154"/>
      <c r="S196" s="154"/>
    </row>
    <row r="197">
      <c r="A197" s="154"/>
      <c r="B197" s="154"/>
      <c r="C197" s="155"/>
      <c r="D197" s="156"/>
      <c r="E197" s="155"/>
      <c r="F197" s="155"/>
      <c r="G197" s="155"/>
      <c r="H197" s="157"/>
      <c r="I197" s="154"/>
      <c r="J197" s="154"/>
      <c r="K197" s="154"/>
      <c r="L197" s="155"/>
      <c r="M197" s="156"/>
      <c r="N197" s="155"/>
      <c r="O197" s="155"/>
      <c r="P197" s="155"/>
      <c r="Q197" s="157"/>
      <c r="R197" s="154"/>
      <c r="S197" s="154"/>
    </row>
    <row r="198">
      <c r="A198" s="154"/>
      <c r="B198" s="154"/>
      <c r="C198" s="155"/>
      <c r="D198" s="156"/>
      <c r="E198" s="155"/>
      <c r="F198" s="155"/>
      <c r="G198" s="155"/>
      <c r="H198" s="157"/>
      <c r="I198" s="154"/>
      <c r="J198" s="154"/>
      <c r="K198" s="154"/>
      <c r="L198" s="155"/>
      <c r="M198" s="156"/>
      <c r="N198" s="155"/>
      <c r="O198" s="155"/>
      <c r="P198" s="155"/>
      <c r="Q198" s="157"/>
      <c r="R198" s="154"/>
      <c r="S198" s="154"/>
    </row>
    <row r="199">
      <c r="A199" s="154"/>
      <c r="B199" s="154"/>
      <c r="C199" s="155"/>
      <c r="D199" s="156"/>
      <c r="E199" s="155"/>
      <c r="F199" s="155"/>
      <c r="G199" s="155"/>
      <c r="H199" s="157"/>
      <c r="I199" s="154"/>
      <c r="J199" s="154"/>
      <c r="K199" s="154"/>
      <c r="L199" s="155"/>
      <c r="M199" s="156"/>
      <c r="N199" s="155"/>
      <c r="O199" s="155"/>
      <c r="P199" s="155"/>
      <c r="Q199" s="157"/>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row r="591">
      <c r="A591" s="154"/>
      <c r="B591" s="154"/>
      <c r="C591" s="155"/>
      <c r="D591" s="156"/>
      <c r="E591" s="155"/>
      <c r="F591" s="155"/>
      <c r="G591" s="155"/>
      <c r="H591" s="157"/>
      <c r="I591" s="154"/>
      <c r="J591" s="154"/>
      <c r="K591" s="154"/>
      <c r="L591" s="155"/>
      <c r="M591" s="156"/>
      <c r="N591" s="155"/>
      <c r="O591" s="155"/>
      <c r="P591" s="155"/>
      <c r="Q591" s="157"/>
      <c r="R591" s="154"/>
      <c r="S591" s="154"/>
    </row>
    <row r="592">
      <c r="A592" s="154"/>
      <c r="B592" s="154"/>
      <c r="C592" s="155"/>
      <c r="D592" s="156"/>
      <c r="E592" s="155"/>
      <c r="F592" s="155"/>
      <c r="G592" s="155"/>
      <c r="H592" s="157"/>
      <c r="I592" s="154"/>
      <c r="J592" s="154"/>
      <c r="K592" s="154"/>
      <c r="L592" s="155"/>
      <c r="M592" s="156"/>
      <c r="N592" s="155"/>
      <c r="O592" s="155"/>
      <c r="P592" s="155"/>
      <c r="Q592" s="157"/>
      <c r="R592" s="154"/>
      <c r="S592" s="154"/>
    </row>
  </sheetData>
  <mergeCells count="6">
    <mergeCell ref="C1:H1"/>
    <mergeCell ref="L1:Q1"/>
    <mergeCell ref="C2:H2"/>
    <mergeCell ref="L2:Q2"/>
    <mergeCell ref="C3:H3"/>
    <mergeCell ref="L3:Q3"/>
  </mergeCells>
  <dataValidations>
    <dataValidation type="list" allowBlank="1" showErrorMessage="1" sqref="A1:C1 I1:L1 R1:S1">
      <formula1>'All Competencies'!$A$3:$A592</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Q9"/>
    <hyperlink r:id="rId21" ref="D10"/>
    <hyperlink r:id="rId22" ref="H10"/>
    <hyperlink r:id="rId23" ref="M10"/>
    <hyperlink r:id="rId24" ref="Q10"/>
    <hyperlink r:id="rId25" ref="D11"/>
    <hyperlink r:id="rId26" ref="H11"/>
    <hyperlink r:id="rId27" ref="M11"/>
    <hyperlink r:id="rId28" ref="Q11"/>
    <hyperlink r:id="rId29" ref="D12"/>
    <hyperlink r:id="rId30" ref="H12"/>
    <hyperlink r:id="rId31" ref="M12"/>
    <hyperlink r:id="rId32" ref="Q12"/>
    <hyperlink r:id="rId33" ref="D13"/>
    <hyperlink r:id="rId34" ref="H13"/>
    <hyperlink r:id="rId35" ref="M13"/>
    <hyperlink r:id="rId36" ref="D14"/>
    <hyperlink r:id="rId37" ref="H14"/>
    <hyperlink r:id="rId38" ref="M14"/>
    <hyperlink r:id="rId39" ref="D15"/>
    <hyperlink r:id="rId40" ref="M15"/>
    <hyperlink r:id="rId41" ref="D16"/>
    <hyperlink r:id="rId42" ref="M16"/>
    <hyperlink r:id="rId43" ref="D17"/>
    <hyperlink r:id="rId44" ref="M17"/>
    <hyperlink r:id="rId45" ref="D18"/>
    <hyperlink r:id="rId46" ref="M18"/>
    <hyperlink r:id="rId47" ref="D19"/>
    <hyperlink r:id="rId48" ref="M19"/>
    <hyperlink r:id="rId49" ref="D20"/>
    <hyperlink r:id="rId50" ref="M20"/>
    <hyperlink r:id="rId51" ref="D21"/>
    <hyperlink r:id="rId52" ref="M21"/>
    <hyperlink r:id="rId53" ref="D22"/>
    <hyperlink r:id="rId54" ref="M22"/>
    <hyperlink r:id="rId55" ref="D23"/>
    <hyperlink r:id="rId56" ref="M23"/>
    <hyperlink r:id="rId57" ref="D24"/>
    <hyperlink r:id="rId58" ref="M24"/>
    <hyperlink r:id="rId59" ref="D25"/>
    <hyperlink r:id="rId60" ref="M25"/>
    <hyperlink r:id="rId61" ref="D26"/>
    <hyperlink r:id="rId62" ref="M26"/>
    <hyperlink r:id="rId63" ref="D27"/>
    <hyperlink r:id="rId64" ref="M27"/>
    <hyperlink r:id="rId65" ref="D28"/>
    <hyperlink r:id="rId66" ref="M28"/>
    <hyperlink r:id="rId67" ref="D29"/>
    <hyperlink r:id="rId68" ref="M29"/>
    <hyperlink r:id="rId69" ref="D30"/>
    <hyperlink r:id="rId70" ref="M30"/>
    <hyperlink r:id="rId71" ref="D31"/>
    <hyperlink r:id="rId72" ref="M31"/>
    <hyperlink r:id="rId73" ref="D32"/>
    <hyperlink r:id="rId74" ref="M32"/>
    <hyperlink r:id="rId75" ref="D33"/>
    <hyperlink r:id="rId76" ref="M33"/>
    <hyperlink r:id="rId77" ref="D34"/>
    <hyperlink r:id="rId78" ref="M34"/>
    <hyperlink r:id="rId79" ref="D35"/>
    <hyperlink r:id="rId80" ref="M35"/>
    <hyperlink r:id="rId81" ref="D36"/>
    <hyperlink r:id="rId82" ref="M36"/>
    <hyperlink r:id="rId83" ref="D37"/>
    <hyperlink r:id="rId84" ref="M37"/>
    <hyperlink r:id="rId85" ref="D38"/>
    <hyperlink r:id="rId86" ref="M38"/>
    <hyperlink r:id="rId87" ref="D39"/>
    <hyperlink r:id="rId88" ref="M39"/>
    <hyperlink r:id="rId89" ref="D40"/>
    <hyperlink r:id="rId90" ref="M40"/>
    <hyperlink r:id="rId91" ref="D41"/>
    <hyperlink r:id="rId92" ref="M41"/>
    <hyperlink r:id="rId93" ref="D42"/>
    <hyperlink r:id="rId94" ref="M42"/>
    <hyperlink r:id="rId95" ref="D43"/>
    <hyperlink r:id="rId96" ref="M43"/>
    <hyperlink r:id="rId97" ref="D44"/>
    <hyperlink r:id="rId98" ref="M44"/>
    <hyperlink r:id="rId99" ref="D45"/>
    <hyperlink r:id="rId100" ref="M45"/>
    <hyperlink r:id="rId101" ref="D46"/>
    <hyperlink r:id="rId102" ref="M46"/>
    <hyperlink r:id="rId103" ref="D47"/>
    <hyperlink r:id="rId104" ref="M47"/>
    <hyperlink r:id="rId105" ref="D48"/>
    <hyperlink r:id="rId106" ref="M48"/>
    <hyperlink r:id="rId107" ref="D49"/>
    <hyperlink r:id="rId108" ref="M49"/>
    <hyperlink r:id="rId109" ref="D50"/>
    <hyperlink r:id="rId110" ref="M50"/>
    <hyperlink r:id="rId111" ref="D51"/>
    <hyperlink r:id="rId112" ref="M51"/>
    <hyperlink r:id="rId113" ref="D52"/>
    <hyperlink r:id="rId114" ref="M52"/>
    <hyperlink r:id="rId115" ref="D53"/>
    <hyperlink r:id="rId116" ref="M53"/>
    <hyperlink r:id="rId117" ref="D54"/>
    <hyperlink r:id="rId118" ref="M54"/>
    <hyperlink r:id="rId119" ref="D55"/>
    <hyperlink r:id="rId120" ref="M55"/>
    <hyperlink r:id="rId121" ref="D56"/>
    <hyperlink r:id="rId122" ref="M56"/>
    <hyperlink r:id="rId123" ref="D57"/>
    <hyperlink r:id="rId124" ref="M57"/>
    <hyperlink r:id="rId125" ref="D58"/>
    <hyperlink r:id="rId126" ref="M58"/>
    <hyperlink r:id="rId127" ref="D59"/>
    <hyperlink r:id="rId128" ref="M59"/>
    <hyperlink r:id="rId129" ref="D60"/>
    <hyperlink r:id="rId130" ref="M60"/>
    <hyperlink r:id="rId131" ref="D61"/>
    <hyperlink r:id="rId132" ref="M61"/>
    <hyperlink r:id="rId133" ref="D62"/>
    <hyperlink r:id="rId134" ref="M62"/>
    <hyperlink r:id="rId135" ref="D63"/>
    <hyperlink r:id="rId136" ref="M63"/>
    <hyperlink r:id="rId137" ref="D64"/>
    <hyperlink r:id="rId138" ref="M64"/>
    <hyperlink r:id="rId139" ref="D65"/>
    <hyperlink r:id="rId140" ref="M65"/>
    <hyperlink r:id="rId141" ref="D66"/>
    <hyperlink r:id="rId142" ref="D67"/>
    <hyperlink r:id="rId143" ref="D68"/>
    <hyperlink r:id="rId144" ref="D69"/>
    <hyperlink r:id="rId145" ref="D70"/>
    <hyperlink r:id="rId146" ref="D71"/>
    <hyperlink r:id="rId147" ref="D72"/>
    <hyperlink r:id="rId148" ref="D73"/>
    <hyperlink r:id="rId149" ref="D74"/>
    <hyperlink r:id="rId150" ref="D75"/>
    <hyperlink r:id="rId151" ref="D76"/>
    <hyperlink r:id="rId152" ref="D77"/>
    <hyperlink r:id="rId153" ref="D78"/>
    <hyperlink r:id="rId154" ref="D79"/>
    <hyperlink r:id="rId155" ref="D80"/>
    <hyperlink r:id="rId156" ref="D81"/>
    <hyperlink r:id="rId157" ref="D82"/>
    <hyperlink r:id="rId158" ref="D83"/>
    <hyperlink r:id="rId159" ref="D84"/>
    <hyperlink r:id="rId160" ref="D85"/>
    <hyperlink r:id="rId161" ref="D86"/>
  </hyperlinks>
  <drawing r:id="rId16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18.88"/>
    <col customWidth="1" min="6" max="6" width="22.38"/>
    <col customWidth="1" min="7" max="7" width="11.38"/>
    <col customWidth="1" min="8" max="8" width="43.88"/>
    <col customWidth="1" min="9" max="11" width="0.63"/>
    <col customWidth="1" min="12" max="12" width="11.88"/>
    <col customWidth="1" min="13" max="13" width="48.0"/>
    <col customWidth="1" min="14" max="14" width="20.13"/>
    <col customWidth="1" min="15" max="15" width="22.38"/>
    <col customWidth="1" min="16" max="16" width="11.38"/>
    <col customWidth="1" min="17" max="17" width="43.88"/>
    <col customWidth="1" min="18" max="19" width="0.63"/>
  </cols>
  <sheetData>
    <row r="1" ht="27.75" customHeight="1" outlineLevel="1">
      <c r="A1" s="130"/>
      <c r="B1" s="130"/>
      <c r="C1" s="131" t="s">
        <v>1348</v>
      </c>
      <c r="I1" s="130"/>
      <c r="J1" s="130"/>
      <c r="K1" s="130"/>
      <c r="L1" s="131" t="s">
        <v>1747</v>
      </c>
      <c r="R1" s="130"/>
      <c r="S1" s="130"/>
    </row>
    <row r="2" outlineLevel="1">
      <c r="A2" s="132"/>
      <c r="B2" s="132"/>
      <c r="C2" s="133" t="s">
        <v>1986</v>
      </c>
      <c r="I2" s="132"/>
      <c r="J2" s="132"/>
      <c r="K2" s="132"/>
      <c r="L2" s="133" t="s">
        <v>1986</v>
      </c>
      <c r="R2" s="132"/>
      <c r="S2" s="132"/>
    </row>
    <row r="3" outlineLevel="1">
      <c r="A3" s="134"/>
      <c r="B3" s="134"/>
      <c r="C3" s="135" t="str">
        <f>IFERROR(__xludf.DUMMYFUNCTION("IFERROR(UNIQUE(FILTER('Competency Learning Paths'!N:N,'Competency Learning Paths'!A:A= C1)))"),"Human Capital Management, Driving Engagement, Performance Management ")</f>
        <v>Human Capital Management, Driving Engagement, Performance Management </v>
      </c>
      <c r="I3" s="134"/>
      <c r="J3" s="134"/>
      <c r="K3" s="134"/>
      <c r="L3" s="135" t="str">
        <f>IFERROR(__xludf.DUMMYFUNCTION("IFERROR(UNIQUE(FILTER('Competency Learning Paths'!N:N,'Competency Learning Paths'!A:A= L1)))"),"Managing Diversity, Leveraging Diversity, Values Differences, Equity, Empathy")</f>
        <v>Managing Diversity, Leveraging Diversity, Values Differences, Equity, Empathy</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IFERROR(__xludf.DUMMYFUNCTION("""COMPUTED_VALUE"""),564547.0)</f>
        <v>564547</v>
      </c>
      <c r="D5" s="142" t="str">
        <f>IFERROR(__xludf.DUMMYFUNCTION("""COMPUTED_VALUE"""),"Jeff Weiner on Establishing a Culture and a Plan for Scaling")</f>
        <v>Jeff Weiner on Establishing a Culture and a Plan for Scaling</v>
      </c>
      <c r="E5" s="141" t="str">
        <f>IFERROR(__xludf.DUMMYFUNCTION("""COMPUTED_VALUE"""),"C-Suite")</f>
        <v>C-Suite</v>
      </c>
      <c r="F5" s="141" t="str">
        <f>IFERROR(__xludf.DUMMYFUNCTION("""COMPUTED_VALUE"""),"General")</f>
        <v>General</v>
      </c>
      <c r="G5" s="143">
        <f>IFERROR(__xludf.DUMMYFUNCTION("""COMPUTED_VALUE"""),0.030601851851851852)</f>
        <v>0.03060185185</v>
      </c>
      <c r="H5" s="144" t="str">
        <f>IFERROR(__xludf.DUMMYFUNCTION("""COMPUTED_VALUE"""),"Advance Your Skills as a Manager")</f>
        <v>Advance Your Skills as a Manager</v>
      </c>
      <c r="I5" s="140"/>
      <c r="J5" s="140"/>
      <c r="K5" s="140"/>
      <c r="L5" s="141">
        <f>IFERROR(__xludf.DUMMYFUNCTION("""COMPUTED_VALUE"""),373562.0)</f>
        <v>373562</v>
      </c>
      <c r="M5" s="145" t="str">
        <f>IFERROR(__xludf.DUMMYFUNCTION("""COMPUTED_VALUE"""),"Global Strategy")</f>
        <v>Global Strategy</v>
      </c>
      <c r="N5" s="141" t="str">
        <f>IFERROR(__xludf.DUMMYFUNCTION("""COMPUTED_VALUE"""),"C-Suite")</f>
        <v>C-Suite</v>
      </c>
      <c r="O5" s="141" t="str">
        <f>IFERROR(__xludf.DUMMYFUNCTION("""COMPUTED_VALUE"""),"Advanced")</f>
        <v>Advanced</v>
      </c>
      <c r="P5" s="146">
        <f>IFERROR(__xludf.DUMMYFUNCTION("""COMPUTED_VALUE"""),0.04857638888888889)</f>
        <v>0.04857638889</v>
      </c>
      <c r="Q5" s="144" t="str">
        <f>IFERROR(__xludf.DUMMYFUNCTION("""COMPUTED_VALUE"""),"Become an Inclusive Leader")</f>
        <v>Become an Inclusive Leader</v>
      </c>
      <c r="R5" s="140"/>
      <c r="S5" s="140"/>
    </row>
    <row r="6">
      <c r="A6" s="140"/>
      <c r="B6" s="140"/>
      <c r="C6" s="147">
        <f>IFERROR(__xludf.DUMMYFUNCTION("""COMPUTED_VALUE"""),624208.0)</f>
        <v>624208</v>
      </c>
      <c r="D6" s="148" t="str">
        <f>IFERROR(__xludf.DUMMYFUNCTION("""COMPUTED_VALUE"""),"Creating a Positive and Healthy Work Environment")</f>
        <v>Creating a Positive and Healthy Work Environment</v>
      </c>
      <c r="E6" s="147" t="str">
        <f>IFERROR(__xludf.DUMMYFUNCTION("""COMPUTED_VALUE"""),"Senior Manager")</f>
        <v>Senior Manager</v>
      </c>
      <c r="F6" s="141" t="str">
        <f>IFERROR(__xludf.DUMMYFUNCTION("""COMPUTED_VALUE"""),"Advanced")</f>
        <v>Advanced</v>
      </c>
      <c r="G6" s="143">
        <f>IFERROR(__xludf.DUMMYFUNCTION("""COMPUTED_VALUE"""),0.039907407407407405)</f>
        <v>0.03990740741</v>
      </c>
      <c r="H6" s="149" t="str">
        <f>IFERROR(__xludf.DUMMYFUNCTION("""COMPUTED_VALUE"""),"Become an Inclusive Leader")</f>
        <v>Become an Inclusive Leader</v>
      </c>
      <c r="I6" s="140"/>
      <c r="J6" s="140"/>
      <c r="K6" s="140"/>
      <c r="L6" s="147">
        <f>IFERROR(__xludf.DUMMYFUNCTION("""COMPUTED_VALUE"""),706917.0)</f>
        <v>706917</v>
      </c>
      <c r="M6" s="150" t="str">
        <f>IFERROR(__xludf.DUMMYFUNCTION("""COMPUTED_VALUE"""),"Leading Globally")</f>
        <v>Leading Globally</v>
      </c>
      <c r="N6" s="147" t="str">
        <f>IFERROR(__xludf.DUMMYFUNCTION("""COMPUTED_VALUE"""),"C-Suite")</f>
        <v>C-Suite</v>
      </c>
      <c r="O6" s="141" t="str">
        <f>IFERROR(__xludf.DUMMYFUNCTION("""COMPUTED_VALUE"""),"Advanced")</f>
        <v>Advanced</v>
      </c>
      <c r="P6" s="146">
        <f>IFERROR(__xludf.DUMMYFUNCTION("""COMPUTED_VALUE"""),0.053634259259259257)</f>
        <v>0.05363425926</v>
      </c>
      <c r="Q6" s="149" t="str">
        <f>IFERROR(__xludf.DUMMYFUNCTION("""COMPUTED_VALUE"""),"Become a Thought Leader")</f>
        <v>Become a Thought Leader</v>
      </c>
      <c r="R6" s="140"/>
      <c r="S6" s="140"/>
    </row>
    <row r="7">
      <c r="A7" s="140"/>
      <c r="B7" s="140"/>
      <c r="C7" s="147">
        <f>IFERROR(__xludf.DUMMYFUNCTION("""COMPUTED_VALUE"""),2812491.0)</f>
        <v>2812491</v>
      </c>
      <c r="D7" s="148" t="str">
        <f>IFERROR(__xludf.DUMMYFUNCTION("""COMPUTED_VALUE"""),"Ideation for Leaders")</f>
        <v>Ideation for Leaders</v>
      </c>
      <c r="E7" s="147" t="str">
        <f>IFERROR(__xludf.DUMMYFUNCTION("""COMPUTED_VALUE"""),"Senior Manager")</f>
        <v>Senior Manager</v>
      </c>
      <c r="F7" s="141" t="str">
        <f>IFERROR(__xludf.DUMMYFUNCTION("""COMPUTED_VALUE"""),"Advanced")</f>
        <v>Advanced</v>
      </c>
      <c r="G7" s="143">
        <f>IFERROR(__xludf.DUMMYFUNCTION("""COMPUTED_VALUE"""),0.04090277777777778)</f>
        <v>0.04090277778</v>
      </c>
      <c r="H7" s="149" t="str">
        <f>IFERROR(__xludf.DUMMYFUNCTION("""COMPUTED_VALUE"""),"Become a Senior Manager")</f>
        <v>Become a Senior Manager</v>
      </c>
      <c r="I7" s="140"/>
      <c r="J7" s="140"/>
      <c r="K7" s="140"/>
      <c r="L7" s="147">
        <f>IFERROR(__xludf.DUMMYFUNCTION("""COMPUTED_VALUE"""),664805.0)</f>
        <v>664805</v>
      </c>
      <c r="M7" s="150" t="str">
        <f>IFERROR(__xludf.DUMMYFUNCTION("""COMPUTED_VALUE"""),"Managing Globally")</f>
        <v>Managing Globally</v>
      </c>
      <c r="N7" s="147" t="str">
        <f>IFERROR(__xludf.DUMMYFUNCTION("""COMPUTED_VALUE"""),"C-Suite")</f>
        <v>C-Suite</v>
      </c>
      <c r="O7" s="141" t="str">
        <f>IFERROR(__xludf.DUMMYFUNCTION("""COMPUTED_VALUE"""),"Intermediate")</f>
        <v>Intermediate</v>
      </c>
      <c r="P7" s="146">
        <f>IFERROR(__xludf.DUMMYFUNCTION("""COMPUTED_VALUE"""),0.03311342592592593)</f>
        <v>0.03311342593</v>
      </c>
      <c r="Q7" s="149" t="str">
        <f>IFERROR(__xludf.DUMMYFUNCTION("""COMPUTED_VALUE"""),"Build a More Equitable and Inclusive Workplace")</f>
        <v>Build a More Equitable and Inclusive Workplace</v>
      </c>
      <c r="R7" s="140"/>
      <c r="S7" s="140"/>
    </row>
    <row r="8">
      <c r="A8" s="140"/>
      <c r="B8" s="140"/>
      <c r="C8" s="147">
        <f>IFERROR(__xludf.DUMMYFUNCTION("""COMPUTED_VALUE"""),536419.0)</f>
        <v>536419</v>
      </c>
      <c r="D8" s="148" t="str">
        <f>IFERROR(__xludf.DUMMYFUNCTION("""COMPUTED_VALUE"""),"Talent Management")</f>
        <v>Talent Management</v>
      </c>
      <c r="E8" s="147" t="str">
        <f>IFERROR(__xludf.DUMMYFUNCTION("""COMPUTED_VALUE"""),"Senior Manager")</f>
        <v>Senior Manager</v>
      </c>
      <c r="F8" s="141" t="str">
        <f>IFERROR(__xludf.DUMMYFUNCTION("""COMPUTED_VALUE"""),"Beginner")</f>
        <v>Beginner</v>
      </c>
      <c r="G8" s="143">
        <f>IFERROR(__xludf.DUMMYFUNCTION("""COMPUTED_VALUE"""),0.02732638888888889)</f>
        <v>0.02732638889</v>
      </c>
      <c r="H8" s="149" t="str">
        <f>IFERROR(__xludf.DUMMYFUNCTION("""COMPUTED_VALUE"""),"Finding and Retaining Talent")</f>
        <v>Finding and Retaining Talent</v>
      </c>
      <c r="I8" s="140"/>
      <c r="J8" s="140"/>
      <c r="K8" s="140"/>
      <c r="L8" s="147">
        <f>IFERROR(__xludf.DUMMYFUNCTION("""COMPUTED_VALUE"""),645013.0)</f>
        <v>645013</v>
      </c>
      <c r="M8" s="150" t="str">
        <f>IFERROR(__xludf.DUMMYFUNCTION("""COMPUTED_VALUE"""),"Inclusive Leadership")</f>
        <v>Inclusive Leadership</v>
      </c>
      <c r="N8" s="147" t="str">
        <f>IFERROR(__xludf.DUMMYFUNCTION("""COMPUTED_VALUE"""),"C-Suite")</f>
        <v>C-Suite</v>
      </c>
      <c r="O8" s="141" t="str">
        <f>IFERROR(__xludf.DUMMYFUNCTION("""COMPUTED_VALUE"""),"Intermediate")</f>
        <v>Intermediate</v>
      </c>
      <c r="P8" s="146">
        <f>IFERROR(__xludf.DUMMYFUNCTION("""COMPUTED_VALUE"""),0.04212962962962963)</f>
        <v>0.04212962963</v>
      </c>
      <c r="Q8" s="149" t="str">
        <f>IFERROR(__xludf.DUMMYFUNCTION("""COMPUTED_VALUE"""),"Diversity, Inclusion and Belonging for All")</f>
        <v>Diversity, Inclusion and Belonging for All</v>
      </c>
      <c r="R8" s="140"/>
      <c r="S8" s="140"/>
    </row>
    <row r="9" ht="33.75" customHeight="1">
      <c r="A9" s="140"/>
      <c r="B9" s="140"/>
      <c r="C9" s="147">
        <f>IFERROR(__xludf.DUMMYFUNCTION("""COMPUTED_VALUE"""),661748.0)</f>
        <v>661748</v>
      </c>
      <c r="D9" s="148" t="str">
        <f>IFERROR(__xludf.DUMMYFUNCTION("""COMPUTED_VALUE"""),"Rewarding Employee Performance")</f>
        <v>Rewarding Employee Performance</v>
      </c>
      <c r="E9" s="147" t="str">
        <f>IFERROR(__xludf.DUMMYFUNCTION("""COMPUTED_VALUE"""),"Senior Manager")</f>
        <v>Senior Manager</v>
      </c>
      <c r="F9" s="141" t="str">
        <f>IFERROR(__xludf.DUMMYFUNCTION("""COMPUTED_VALUE"""),"Beginner + Intermediate")</f>
        <v>Beginner + Intermediate</v>
      </c>
      <c r="G9" s="143">
        <f>IFERROR(__xludf.DUMMYFUNCTION("""COMPUTED_VALUE"""),0.03037037037037037)</f>
        <v>0.03037037037</v>
      </c>
      <c r="H9" s="149" t="str">
        <f>IFERROR(__xludf.DUMMYFUNCTION("""COMPUTED_VALUE"""),"Improve Your Coaching Skills as a Manager")</f>
        <v>Improve Your Coaching Skills as a Manager</v>
      </c>
      <c r="I9" s="140"/>
      <c r="J9" s="140"/>
      <c r="K9" s="140"/>
      <c r="L9" s="147">
        <f>IFERROR(__xludf.DUMMYFUNCTION("""COMPUTED_VALUE"""),2426605.0)</f>
        <v>2426605</v>
      </c>
      <c r="M9" s="148" t="str">
        <f>IFERROR(__xludf.DUMMYFUNCTION("""COMPUTED_VALUE"""),"How to Be an Inclusive Leader (getAbstract Summary)")</f>
        <v>How to Be an Inclusive Leader (getAbstract Summary)</v>
      </c>
      <c r="N9" s="147" t="str">
        <f>IFERROR(__xludf.DUMMYFUNCTION("""COMPUTED_VALUE"""),"Senior Manager")</f>
        <v>Senior Manager</v>
      </c>
      <c r="O9" s="141" t="str">
        <f>IFERROR(__xludf.DUMMYFUNCTION("""COMPUTED_VALUE"""),"Beginner")</f>
        <v>Beginner</v>
      </c>
      <c r="P9" s="143">
        <f>IFERROR(__xludf.DUMMYFUNCTION("""COMPUTED_VALUE"""),0.008287037037037037)</f>
        <v>0.008287037037</v>
      </c>
      <c r="Q9" s="149" t="str">
        <f>IFERROR(__xludf.DUMMYFUNCTION("""COMPUTED_VALUE"""),"Diversity, Inclusion and Belonging for Leaders and Managers")</f>
        <v>Diversity, Inclusion and Belonging for Leaders and Managers</v>
      </c>
      <c r="R9" s="140"/>
      <c r="S9" s="140"/>
    </row>
    <row r="10" ht="33.75" customHeight="1">
      <c r="A10" s="140"/>
      <c r="B10" s="140"/>
      <c r="C10" s="147">
        <f>IFERROR(__xludf.DUMMYFUNCTION("""COMPUTED_VALUE"""),700792.0)</f>
        <v>700792</v>
      </c>
      <c r="D10" s="148" t="str">
        <f>IFERROR(__xludf.DUMMYFUNCTION("""COMPUTED_VALUE"""),"Employee Experience")</f>
        <v>Employee Experience</v>
      </c>
      <c r="E10" s="147" t="str">
        <f>IFERROR(__xludf.DUMMYFUNCTION("""COMPUTED_VALUE"""),"Senior Manager")</f>
        <v>Senior Manager</v>
      </c>
      <c r="F10" s="141" t="str">
        <f>IFERROR(__xludf.DUMMYFUNCTION("""COMPUTED_VALUE"""),"Intermediate")</f>
        <v>Intermediate</v>
      </c>
      <c r="G10" s="143">
        <f>IFERROR(__xludf.DUMMYFUNCTION("""COMPUTED_VALUE"""),0.025138888888888888)</f>
        <v>0.02513888889</v>
      </c>
      <c r="H10" s="158" t="str">
        <f>IFERROR(__xludf.DUMMYFUNCTION("""COMPUTED_VALUE"""),"Managing Performance")</f>
        <v>Managing Performance</v>
      </c>
      <c r="I10" s="140"/>
      <c r="J10" s="140"/>
      <c r="K10" s="140"/>
      <c r="L10" s="147">
        <f>IFERROR(__xludf.DUMMYFUNCTION("""COMPUTED_VALUE"""),5028617.0)</f>
        <v>5028617</v>
      </c>
      <c r="M10" s="148" t="str">
        <f>IFERROR(__xludf.DUMMYFUNCTION("""COMPUTED_VALUE"""),"Communicating Values")</f>
        <v>Communicating Values</v>
      </c>
      <c r="N10" s="147" t="str">
        <f>IFERROR(__xludf.DUMMYFUNCTION("""COMPUTED_VALUE"""),"Senior Manager")</f>
        <v>Senior Manager</v>
      </c>
      <c r="O10" s="141" t="str">
        <f>IFERROR(__xludf.DUMMYFUNCTION("""COMPUTED_VALUE"""),"Intermediate")</f>
        <v>Intermediate</v>
      </c>
      <c r="P10" s="143">
        <f>IFERROR(__xludf.DUMMYFUNCTION("""COMPUTED_VALUE"""),0.024733796296296295)</f>
        <v>0.0247337963</v>
      </c>
      <c r="Q10" s="158" t="str">
        <f>IFERROR(__xludf.DUMMYFUNCTION("""COMPUTED_VALUE"""),"How to Engage Meaningfully in Allyship and Anti-Racism")</f>
        <v>How to Engage Meaningfully in Allyship and Anti-Racism</v>
      </c>
      <c r="R10" s="140"/>
      <c r="S10" s="140"/>
    </row>
    <row r="11" ht="33.75" customHeight="1">
      <c r="A11" s="140"/>
      <c r="B11" s="140"/>
      <c r="C11" s="147">
        <f>IFERROR(__xludf.DUMMYFUNCTION("""COMPUTED_VALUE"""),756286.0)</f>
        <v>756286</v>
      </c>
      <c r="D11" s="148" t="str">
        <f>IFERROR(__xludf.DUMMYFUNCTION("""COMPUTED_VALUE"""),"HR and Digital Transformation")</f>
        <v>HR and Digital Transformation</v>
      </c>
      <c r="E11" s="147" t="str">
        <f>IFERROR(__xludf.DUMMYFUNCTION("""COMPUTED_VALUE"""),"Senior Manager")</f>
        <v>Senior Manager</v>
      </c>
      <c r="F11" s="141" t="str">
        <f>IFERROR(__xludf.DUMMYFUNCTION("""COMPUTED_VALUE"""),"Intermediate")</f>
        <v>Intermediate</v>
      </c>
      <c r="G11" s="143">
        <f>IFERROR(__xludf.DUMMYFUNCTION("""COMPUTED_VALUE"""),0.03916666666666667)</f>
        <v>0.03916666667</v>
      </c>
      <c r="H11" s="149" t="str">
        <f>IFERROR(__xludf.DUMMYFUNCTION("""COMPUTED_VALUE"""),"Recruit and Maximize Talent")</f>
        <v>Recruit and Maximize Talent</v>
      </c>
      <c r="I11" s="140"/>
      <c r="J11" s="140"/>
      <c r="K11" s="140"/>
      <c r="L11" s="147">
        <f>IFERROR(__xludf.DUMMYFUNCTION("""COMPUTED_VALUE"""),2252217.0)</f>
        <v>2252217</v>
      </c>
      <c r="M11" s="148" t="str">
        <f>IFERROR(__xludf.DUMMYFUNCTION("""COMPUTED_VALUE"""),"Managing Multiple Generations")</f>
        <v>Managing Multiple Generations</v>
      </c>
      <c r="N11" s="147" t="str">
        <f>IFERROR(__xludf.DUMMYFUNCTION("""COMPUTED_VALUE"""),"Senior Manager")</f>
        <v>Senior Manager</v>
      </c>
      <c r="O11" s="141" t="str">
        <f>IFERROR(__xludf.DUMMYFUNCTION("""COMPUTED_VALUE"""),"Intermediate")</f>
        <v>Intermediate</v>
      </c>
      <c r="P11" s="143">
        <f>IFERROR(__xludf.DUMMYFUNCTION("""COMPUTED_VALUE"""),0.029282407407407406)</f>
        <v>0.02928240741</v>
      </c>
      <c r="Q11" s="149" t="str">
        <f>IFERROR(__xludf.DUMMYFUNCTION("""COMPUTED_VALUE"""),"Improve Your Coaching Skills as a Manager")</f>
        <v>Improve Your Coaching Skills as a Manager</v>
      </c>
      <c r="R11" s="140"/>
      <c r="S11" s="140"/>
    </row>
    <row r="12" ht="33.75" customHeight="1">
      <c r="A12" s="140"/>
      <c r="B12" s="140"/>
      <c r="C12" s="147">
        <f>IFERROR(__xludf.DUMMYFUNCTION("""COMPUTED_VALUE"""),2881199.0)</f>
        <v>2881199</v>
      </c>
      <c r="D12" s="148" t="str">
        <f>IFERROR(__xludf.DUMMYFUNCTION("""COMPUTED_VALUE"""),"Finding and Retaining High Potentials")</f>
        <v>Finding and Retaining High Potentials</v>
      </c>
      <c r="E12" s="147" t="str">
        <f>IFERROR(__xludf.DUMMYFUNCTION("""COMPUTED_VALUE"""),"Senior Manager")</f>
        <v>Senior Manager</v>
      </c>
      <c r="F12" s="141" t="str">
        <f>IFERROR(__xludf.DUMMYFUNCTION("""COMPUTED_VALUE"""),"Intermediate")</f>
        <v>Intermediate</v>
      </c>
      <c r="G12" s="143">
        <f>IFERROR(__xludf.DUMMYFUNCTION("""COMPUTED_VALUE"""),0.029502314814814815)</f>
        <v>0.02950231481</v>
      </c>
      <c r="H12" s="151"/>
      <c r="I12" s="140"/>
      <c r="J12" s="140"/>
      <c r="K12" s="140"/>
      <c r="L12" s="147">
        <f>IFERROR(__xludf.DUMMYFUNCTION("""COMPUTED_VALUE"""),5022331.0)</f>
        <v>5022331</v>
      </c>
      <c r="M12" s="148" t="str">
        <f>IFERROR(__xludf.DUMMYFUNCTION("""COMPUTED_VALUE"""),"Collaborative Leadership")</f>
        <v>Collaborative Leadership</v>
      </c>
      <c r="N12" s="147" t="str">
        <f>IFERROR(__xludf.DUMMYFUNCTION("""COMPUTED_VALUE"""),"Senior Manager")</f>
        <v>Senior Manager</v>
      </c>
      <c r="O12" s="141" t="str">
        <f>IFERROR(__xludf.DUMMYFUNCTION("""COMPUTED_VALUE"""),"Intermediate")</f>
        <v>Intermediate</v>
      </c>
      <c r="P12" s="143">
        <f>IFERROR(__xludf.DUMMYFUNCTION("""COMPUTED_VALUE"""),0.025925925925925925)</f>
        <v>0.02592592593</v>
      </c>
      <c r="Q12" s="149" t="str">
        <f>IFERROR(__xludf.DUMMYFUNCTION("""COMPUTED_VALUE"""),"Stay Ahead in All Things DIBs")</f>
        <v>Stay Ahead in All Things DIBs</v>
      </c>
      <c r="R12" s="140"/>
      <c r="S12" s="140"/>
    </row>
    <row r="13" ht="33.75" customHeight="1">
      <c r="A13" s="140"/>
      <c r="B13" s="140"/>
      <c r="C13" s="147">
        <f>IFERROR(__xludf.DUMMYFUNCTION("""COMPUTED_VALUE"""),2895002.0)</f>
        <v>2895002</v>
      </c>
      <c r="D13" s="148" t="str">
        <f>IFERROR(__xludf.DUMMYFUNCTION("""COMPUTED_VALUE"""),"People Success: Employee Assessments")</f>
        <v>People Success: Employee Assessments</v>
      </c>
      <c r="E13" s="147" t="str">
        <f>IFERROR(__xludf.DUMMYFUNCTION("""COMPUTED_VALUE"""),"Manager")</f>
        <v>Manager</v>
      </c>
      <c r="F13" s="141" t="str">
        <f>IFERROR(__xludf.DUMMYFUNCTION("""COMPUTED_VALUE"""),"Advanced")</f>
        <v>Advanced</v>
      </c>
      <c r="G13" s="143">
        <f>IFERROR(__xludf.DUMMYFUNCTION("""COMPUTED_VALUE"""),0.015289351851851853)</f>
        <v>0.01528935185</v>
      </c>
      <c r="H13" s="152"/>
      <c r="I13" s="140"/>
      <c r="J13" s="140"/>
      <c r="K13" s="140"/>
      <c r="L13" s="147">
        <f>IFERROR(__xludf.DUMMYFUNCTION("""COMPUTED_VALUE"""),2819137.0)</f>
        <v>2819137</v>
      </c>
      <c r="M13" s="148" t="str">
        <f>IFERROR(__xludf.DUMMYFUNCTION("""COMPUTED_VALUE"""),"Developing a Diversity, Inclusion, and Belonging Program")</f>
        <v>Developing a Diversity, Inclusion, and Belonging Program</v>
      </c>
      <c r="N13" s="147" t="str">
        <f>IFERROR(__xludf.DUMMYFUNCTION("""COMPUTED_VALUE"""),"Senior Manager")</f>
        <v>Senior Manager</v>
      </c>
      <c r="O13" s="141" t="str">
        <f>IFERROR(__xludf.DUMMYFUNCTION("""COMPUTED_VALUE"""),"Intermediate")</f>
        <v>Intermediate</v>
      </c>
      <c r="P13" s="143">
        <f>IFERROR(__xludf.DUMMYFUNCTION("""COMPUTED_VALUE"""),0.020787037037037038)</f>
        <v>0.02078703704</v>
      </c>
      <c r="Q13" s="158" t="str">
        <f>IFERROR(__xludf.DUMMYFUNCTION("""COMPUTED_VALUE"""),"Transition from Military to Civilian Employment")</f>
        <v>Transition from Military to Civilian Employment</v>
      </c>
      <c r="R13" s="140"/>
      <c r="S13" s="140"/>
    </row>
    <row r="14" ht="33.75" customHeight="1">
      <c r="A14" s="140"/>
      <c r="B14" s="140"/>
      <c r="C14" s="147">
        <f>IFERROR(__xludf.DUMMYFUNCTION("""COMPUTED_VALUE"""),456353.0)</f>
        <v>456353</v>
      </c>
      <c r="D14" s="148" t="str">
        <f>IFERROR(__xludf.DUMMYFUNCTION("""COMPUTED_VALUE"""),"Setting Team and Employee Goals Using SMART Methodology")</f>
        <v>Setting Team and Employee Goals Using SMART Methodology</v>
      </c>
      <c r="E14" s="147" t="str">
        <f>IFERROR(__xludf.DUMMYFUNCTION("""COMPUTED_VALUE"""),"Manager")</f>
        <v>Manager</v>
      </c>
      <c r="F14" s="141" t="str">
        <f>IFERROR(__xludf.DUMMYFUNCTION("""COMPUTED_VALUE"""),"Beginner")</f>
        <v>Beginner</v>
      </c>
      <c r="G14" s="143">
        <f>IFERROR(__xludf.DUMMYFUNCTION("""COMPUTED_VALUE"""),0.03857638888888889)</f>
        <v>0.03857638889</v>
      </c>
      <c r="H14" s="151"/>
      <c r="I14" s="140"/>
      <c r="J14" s="140"/>
      <c r="K14" s="140"/>
      <c r="L14" s="147">
        <f>IFERROR(__xludf.DUMMYFUNCTION("""COMPUTED_VALUE"""),2886218.0)</f>
        <v>2886218</v>
      </c>
      <c r="M14" s="148" t="str">
        <f>IFERROR(__xludf.DUMMYFUNCTION("""COMPUTED_VALUE"""),"Digital Accessibility for the Modern Workplace")</f>
        <v>Digital Accessibility for the Modern Workplace</v>
      </c>
      <c r="N14" s="147" t="str">
        <f>IFERROR(__xludf.DUMMYFUNCTION("""COMPUTED_VALUE"""),"Senior Manager")</f>
        <v>Senior Manager</v>
      </c>
      <c r="O14" s="141" t="str">
        <f>IFERROR(__xludf.DUMMYFUNCTION("""COMPUTED_VALUE"""),"Intermediate")</f>
        <v>Intermediate</v>
      </c>
      <c r="P14" s="143">
        <f>IFERROR(__xludf.DUMMYFUNCTION("""COMPUTED_VALUE"""),0.03540509259259259)</f>
        <v>0.03540509259</v>
      </c>
      <c r="Q14" s="149" t="str">
        <f>IFERROR(__xludf.DUMMYFUNCTION("""COMPUTED_VALUE"""),"Transition from Military to Student Life")</f>
        <v>Transition from Military to Student Life</v>
      </c>
      <c r="R14" s="140"/>
      <c r="S14" s="140"/>
    </row>
    <row r="15" ht="33.75" customHeight="1">
      <c r="A15" s="140"/>
      <c r="B15" s="140"/>
      <c r="C15" s="147">
        <f>IFERROR(__xludf.DUMMYFUNCTION("""COMPUTED_VALUE"""),2876075.0)</f>
        <v>2876075</v>
      </c>
      <c r="D15" s="148" t="str">
        <f>IFERROR(__xludf.DUMMYFUNCTION("""COMPUTED_VALUE"""),"Virtual Performance Reviews and Feedback")</f>
        <v>Virtual Performance Reviews and Feedback</v>
      </c>
      <c r="E15" s="147" t="str">
        <f>IFERROR(__xludf.DUMMYFUNCTION("""COMPUTED_VALUE"""),"Manager")</f>
        <v>Manager</v>
      </c>
      <c r="F15" s="141" t="str">
        <f>IFERROR(__xludf.DUMMYFUNCTION("""COMPUTED_VALUE"""),"Beginner")</f>
        <v>Beginner</v>
      </c>
      <c r="G15" s="143">
        <f>IFERROR(__xludf.DUMMYFUNCTION("""COMPUTED_VALUE"""),0.033935185185185186)</f>
        <v>0.03393518519</v>
      </c>
      <c r="H15" s="151"/>
      <c r="I15" s="140"/>
      <c r="J15" s="140"/>
      <c r="K15" s="140"/>
      <c r="L15" s="147">
        <f>IFERROR(__xludf.DUMMYFUNCTION("""COMPUTED_VALUE"""),3004558.0)</f>
        <v>3004558</v>
      </c>
      <c r="M15" s="148" t="str">
        <f>IFERROR(__xludf.DUMMYFUNCTION("""COMPUTED_VALUE"""),"Be an Inclusive Organization People Won't Leave")</f>
        <v>Be an Inclusive Organization People Won't Leave</v>
      </c>
      <c r="N15" s="147" t="str">
        <f>IFERROR(__xludf.DUMMYFUNCTION("""COMPUTED_VALUE"""),"Senior Manager")</f>
        <v>Senior Manager</v>
      </c>
      <c r="O15" s="141" t="str">
        <f>IFERROR(__xludf.DUMMYFUNCTION("""COMPUTED_VALUE"""),"Intermediate")</f>
        <v>Intermediate</v>
      </c>
      <c r="P15" s="143">
        <f>IFERROR(__xludf.DUMMYFUNCTION("""COMPUTED_VALUE"""),0.027962962962962964)</f>
        <v>0.02796296296</v>
      </c>
      <c r="Q15" s="149" t="str">
        <f>IFERROR(__xludf.DUMMYFUNCTION("""COMPUTED_VALUE"""),"Women in Leadership")</f>
        <v>Women in Leadership</v>
      </c>
      <c r="R15" s="140"/>
      <c r="S15" s="140"/>
    </row>
    <row r="16" ht="33.75" customHeight="1">
      <c r="A16" s="140"/>
      <c r="B16" s="140"/>
      <c r="C16" s="147">
        <f>IFERROR(__xludf.DUMMYFUNCTION("""COMPUTED_VALUE"""),2880017.0)</f>
        <v>2880017</v>
      </c>
      <c r="D16" s="148" t="str">
        <f>IFERROR(__xludf.DUMMYFUNCTION("""COMPUTED_VALUE"""),"Managers as Multipliers of Well-Being")</f>
        <v>Managers as Multipliers of Well-Being</v>
      </c>
      <c r="E16" s="147" t="str">
        <f>IFERROR(__xludf.DUMMYFUNCTION("""COMPUTED_VALUE"""),"Manager")</f>
        <v>Manager</v>
      </c>
      <c r="F16" s="141" t="str">
        <f>IFERROR(__xludf.DUMMYFUNCTION("""COMPUTED_VALUE"""),"Beginner")</f>
        <v>Beginner</v>
      </c>
      <c r="G16" s="143">
        <f>IFERROR(__xludf.DUMMYFUNCTION("""COMPUTED_VALUE"""),0.026539351851851852)</f>
        <v>0.02653935185</v>
      </c>
      <c r="H16" s="151"/>
      <c r="I16" s="140"/>
      <c r="J16" s="140"/>
      <c r="K16" s="140"/>
      <c r="L16" s="147">
        <f>IFERROR(__xludf.DUMMYFUNCTION("""COMPUTED_VALUE"""),2874004.0)</f>
        <v>2874004</v>
      </c>
      <c r="M16" s="148" t="str">
        <f>IFERROR(__xludf.DUMMYFUNCTION("""COMPUTED_VALUE"""),"Leading Your Org on a Journey of Allyship")</f>
        <v>Leading Your Org on a Journey of Allyship</v>
      </c>
      <c r="N16" s="147" t="str">
        <f>IFERROR(__xludf.DUMMYFUNCTION("""COMPUTED_VALUE"""),"Manager")</f>
        <v>Manager</v>
      </c>
      <c r="O16" s="141" t="str">
        <f>IFERROR(__xludf.DUMMYFUNCTION("""COMPUTED_VALUE"""),"Beginner")</f>
        <v>Beginner</v>
      </c>
      <c r="P16" s="143">
        <f>IFERROR(__xludf.DUMMYFUNCTION("""COMPUTED_VALUE"""),0.01980324074074074)</f>
        <v>0.01980324074</v>
      </c>
      <c r="Q16" s="149" t="str">
        <f>IFERROR(__xludf.DUMMYFUNCTION("""COMPUTED_VALUE"""),"Women Transforming Tech: Navigating Your Career")</f>
        <v>Women Transforming Tech: Navigating Your Career</v>
      </c>
      <c r="R16" s="140"/>
      <c r="S16" s="140"/>
    </row>
    <row r="17" ht="33.75" customHeight="1">
      <c r="A17" s="140"/>
      <c r="B17" s="140"/>
      <c r="C17" s="147">
        <f>IFERROR(__xludf.DUMMYFUNCTION("""COMPUTED_VALUE"""),2882010.0)</f>
        <v>2882010</v>
      </c>
      <c r="D17" s="148" t="str">
        <f>IFERROR(__xludf.DUMMYFUNCTION("""COMPUTED_VALUE"""),"Recruiting Diverse Talent as a Hiring Manager")</f>
        <v>Recruiting Diverse Talent as a Hiring Manager</v>
      </c>
      <c r="E17" s="147" t="str">
        <f>IFERROR(__xludf.DUMMYFUNCTION("""COMPUTED_VALUE"""),"Manager")</f>
        <v>Manager</v>
      </c>
      <c r="F17" s="141" t="str">
        <f>IFERROR(__xludf.DUMMYFUNCTION("""COMPUTED_VALUE"""),"Beginner + Intermediate")</f>
        <v>Beginner + Intermediate</v>
      </c>
      <c r="G17" s="143">
        <f>IFERROR(__xludf.DUMMYFUNCTION("""COMPUTED_VALUE"""),0.04465277777777778)</f>
        <v>0.04465277778</v>
      </c>
      <c r="H17" s="151"/>
      <c r="I17" s="140"/>
      <c r="J17" s="140"/>
      <c r="K17" s="140"/>
      <c r="L17" s="147">
        <f>IFERROR(__xludf.DUMMYFUNCTION("""COMPUTED_VALUE"""),797725.0)</f>
        <v>797725</v>
      </c>
      <c r="M17" s="148" t="str">
        <f>IFERROR(__xludf.DUMMYFUNCTION("""COMPUTED_VALUE"""),"Managing Someone Older Than You")</f>
        <v>Managing Someone Older Than You</v>
      </c>
      <c r="N17" s="147" t="str">
        <f>IFERROR(__xludf.DUMMYFUNCTION("""COMPUTED_VALUE"""),"Manager")</f>
        <v>Manager</v>
      </c>
      <c r="O17" s="141" t="str">
        <f>IFERROR(__xludf.DUMMYFUNCTION("""COMPUTED_VALUE"""),"Beginner")</f>
        <v>Beginner</v>
      </c>
      <c r="P17" s="143">
        <f>IFERROR(__xludf.DUMMYFUNCTION("""COMPUTED_VALUE"""),0.026030092592592594)</f>
        <v>0.02603009259</v>
      </c>
      <c r="Q17" s="151"/>
      <c r="R17" s="140"/>
      <c r="S17" s="140"/>
    </row>
    <row r="18" ht="33.75" customHeight="1">
      <c r="A18" s="140"/>
      <c r="B18" s="140"/>
      <c r="C18" s="147">
        <f>IFERROR(__xludf.DUMMYFUNCTION("""COMPUTED_VALUE"""),5015864.0)</f>
        <v>5015864</v>
      </c>
      <c r="D18" s="148" t="str">
        <f>IFERROR(__xludf.DUMMYFUNCTION("""COMPUTED_VALUE"""),"Performance Management: Conducting Performance Reviews")</f>
        <v>Performance Management: Conducting Performance Reviews</v>
      </c>
      <c r="E18" s="147" t="str">
        <f>IFERROR(__xludf.DUMMYFUNCTION("""COMPUTED_VALUE"""),"Manager")</f>
        <v>Manager</v>
      </c>
      <c r="F18" s="141" t="str">
        <f>IFERROR(__xludf.DUMMYFUNCTION("""COMPUTED_VALUE"""),"Beginner + Intermediate")</f>
        <v>Beginner + Intermediate</v>
      </c>
      <c r="G18" s="143">
        <f>IFERROR(__xludf.DUMMYFUNCTION("""COMPUTED_VALUE"""),0.019699074074074074)</f>
        <v>0.01969907407</v>
      </c>
      <c r="H18" s="151"/>
      <c r="I18" s="140"/>
      <c r="J18" s="140"/>
      <c r="K18" s="140"/>
      <c r="L18" s="147">
        <f>IFERROR(__xludf.DUMMYFUNCTION("""COMPUTED_VALUE"""),2875338.0)</f>
        <v>2875338</v>
      </c>
      <c r="M18" s="148" t="str">
        <f>IFERROR(__xludf.DUMMYFUNCTION("""COMPUTED_VALUE"""),"Supporting Workers with Disabilities")</f>
        <v>Supporting Workers with Disabilities</v>
      </c>
      <c r="N18" s="147" t="str">
        <f>IFERROR(__xludf.DUMMYFUNCTION("""COMPUTED_VALUE"""),"Manager")</f>
        <v>Manager</v>
      </c>
      <c r="O18" s="141" t="str">
        <f>IFERROR(__xludf.DUMMYFUNCTION("""COMPUTED_VALUE"""),"Beginner")</f>
        <v>Beginner</v>
      </c>
      <c r="P18" s="143">
        <f>IFERROR(__xludf.DUMMYFUNCTION("""COMPUTED_VALUE"""),0.04016203703703704)</f>
        <v>0.04016203704</v>
      </c>
      <c r="Q18" s="151"/>
      <c r="R18" s="140"/>
      <c r="S18" s="140"/>
    </row>
    <row r="19" ht="33.75" customHeight="1">
      <c r="A19" s="140"/>
      <c r="B19" s="140"/>
      <c r="C19" s="147">
        <f>IFERROR(__xludf.DUMMYFUNCTION("""COMPUTED_VALUE"""),5015865.0)</f>
        <v>5015865</v>
      </c>
      <c r="D19" s="148" t="str">
        <f>IFERROR(__xludf.DUMMYFUNCTION("""COMPUTED_VALUE"""),"Performance Management: Setting Goals and Managing Performance")</f>
        <v>Performance Management: Setting Goals and Managing Performance</v>
      </c>
      <c r="E19" s="147" t="str">
        <f>IFERROR(__xludf.DUMMYFUNCTION("""COMPUTED_VALUE"""),"Manager")</f>
        <v>Manager</v>
      </c>
      <c r="F19" s="141" t="str">
        <f>IFERROR(__xludf.DUMMYFUNCTION("""COMPUTED_VALUE"""),"Beginner + Intermediate")</f>
        <v>Beginner + Intermediate</v>
      </c>
      <c r="G19" s="143">
        <f>IFERROR(__xludf.DUMMYFUNCTION("""COMPUTED_VALUE"""),0.01369212962962963)</f>
        <v>0.01369212963</v>
      </c>
      <c r="H19" s="151"/>
      <c r="I19" s="140"/>
      <c r="J19" s="140"/>
      <c r="K19" s="140"/>
      <c r="L19" s="147">
        <f>IFERROR(__xludf.DUMMYFUNCTION("""COMPUTED_VALUE"""),2873256.0)</f>
        <v>2873256</v>
      </c>
      <c r="M19" s="148" t="str">
        <f>IFERROR(__xludf.DUMMYFUNCTION("""COMPUTED_VALUE"""),"Inclusive Tech: The Case for Inclusive Leadership")</f>
        <v>Inclusive Tech: The Case for Inclusive Leadership</v>
      </c>
      <c r="N19" s="147" t="str">
        <f>IFERROR(__xludf.DUMMYFUNCTION("""COMPUTED_VALUE"""),"Manager")</f>
        <v>Manager</v>
      </c>
      <c r="O19" s="141" t="str">
        <f>IFERROR(__xludf.DUMMYFUNCTION("""COMPUTED_VALUE"""),"Beginner")</f>
        <v>Beginner</v>
      </c>
      <c r="P19" s="143">
        <f>IFERROR(__xludf.DUMMYFUNCTION("""COMPUTED_VALUE"""),0.04898148148148148)</f>
        <v>0.04898148148</v>
      </c>
      <c r="Q19" s="151"/>
      <c r="R19" s="140"/>
      <c r="S19" s="140"/>
    </row>
    <row r="20" ht="33.75" customHeight="1">
      <c r="A20" s="140"/>
      <c r="B20" s="140"/>
      <c r="C20" s="147">
        <f>IFERROR(__xludf.DUMMYFUNCTION("""COMPUTED_VALUE"""),5034159.0)</f>
        <v>5034159</v>
      </c>
      <c r="D20" s="148" t="str">
        <f>IFERROR(__xludf.DUMMYFUNCTION("""COMPUTED_VALUE"""),"Hiring an Employee for Managers")</f>
        <v>Hiring an Employee for Managers</v>
      </c>
      <c r="E20" s="147" t="str">
        <f>IFERROR(__xludf.DUMMYFUNCTION("""COMPUTED_VALUE"""),"Manager")</f>
        <v>Manager</v>
      </c>
      <c r="F20" s="141" t="str">
        <f>IFERROR(__xludf.DUMMYFUNCTION("""COMPUTED_VALUE"""),"Beginner + Intermediate")</f>
        <v>Beginner + Intermediate</v>
      </c>
      <c r="G20" s="143">
        <f>IFERROR(__xludf.DUMMYFUNCTION("""COMPUTED_VALUE"""),0.027685185185185184)</f>
        <v>0.02768518519</v>
      </c>
      <c r="H20" s="151"/>
      <c r="I20" s="140"/>
      <c r="J20" s="140"/>
      <c r="K20" s="140"/>
      <c r="L20" s="147">
        <f>IFERROR(__xludf.DUMMYFUNCTION("""COMPUTED_VALUE"""),3007799.0)</f>
        <v>3007799</v>
      </c>
      <c r="M20" s="148" t="str">
        <f>IFERROR(__xludf.DUMMYFUNCTION("""COMPUTED_VALUE"""),"Understanding and Supporting ADHD Colleagues in the Workplace")</f>
        <v>Understanding and Supporting ADHD Colleagues in the Workplace</v>
      </c>
      <c r="N20" s="147" t="str">
        <f>IFERROR(__xludf.DUMMYFUNCTION("""COMPUTED_VALUE"""),"Manager")</f>
        <v>Manager</v>
      </c>
      <c r="O20" s="141" t="str">
        <f>IFERROR(__xludf.DUMMYFUNCTION("""COMPUTED_VALUE"""),"Beginner")</f>
        <v>Beginner</v>
      </c>
      <c r="P20" s="143">
        <f>IFERROR(__xludf.DUMMYFUNCTION("""COMPUTED_VALUE"""),0.0471875)</f>
        <v>0.0471875</v>
      </c>
      <c r="Q20" s="151"/>
      <c r="R20" s="140"/>
      <c r="S20" s="140"/>
    </row>
    <row r="21" ht="33.75" customHeight="1">
      <c r="A21" s="140"/>
      <c r="B21" s="140"/>
      <c r="C21" s="147">
        <f>IFERROR(__xludf.DUMMYFUNCTION("""COMPUTED_VALUE"""),802842.0)</f>
        <v>802842</v>
      </c>
      <c r="D21" s="148" t="str">
        <f>IFERROR(__xludf.DUMMYFUNCTION("""COMPUTED_VALUE"""),"Coaching and Developing Employees")</f>
        <v>Coaching and Developing Employees</v>
      </c>
      <c r="E21" s="147" t="str">
        <f>IFERROR(__xludf.DUMMYFUNCTION("""COMPUTED_VALUE"""),"Manager")</f>
        <v>Manager</v>
      </c>
      <c r="F21" s="141" t="str">
        <f>IFERROR(__xludf.DUMMYFUNCTION("""COMPUTED_VALUE"""),"Beginner + Intermediate")</f>
        <v>Beginner + Intermediate</v>
      </c>
      <c r="G21" s="143">
        <f>IFERROR(__xludf.DUMMYFUNCTION("""COMPUTED_VALUE"""),0.03754629629629629)</f>
        <v>0.0375462963</v>
      </c>
      <c r="H21" s="151"/>
      <c r="I21" s="140"/>
      <c r="J21" s="140"/>
      <c r="K21" s="140"/>
      <c r="L21" s="147">
        <f>IFERROR(__xludf.DUMMYFUNCTION("""COMPUTED_VALUE"""),2882010.0)</f>
        <v>2882010</v>
      </c>
      <c r="M21" s="148" t="str">
        <f>IFERROR(__xludf.DUMMYFUNCTION("""COMPUTED_VALUE"""),"Recruiting Diverse Talent as a Hiring Manager")</f>
        <v>Recruiting Diverse Talent as a Hiring Manager</v>
      </c>
      <c r="N21" s="147" t="str">
        <f>IFERROR(__xludf.DUMMYFUNCTION("""COMPUTED_VALUE"""),"Manager")</f>
        <v>Manager</v>
      </c>
      <c r="O21" s="141" t="str">
        <f>IFERROR(__xludf.DUMMYFUNCTION("""COMPUTED_VALUE"""),"Beginner + Intermediate")</f>
        <v>Beginner + Intermediate</v>
      </c>
      <c r="P21" s="143">
        <f>IFERROR(__xludf.DUMMYFUNCTION("""COMPUTED_VALUE"""),0.04465277777777778)</f>
        <v>0.04465277778</v>
      </c>
      <c r="Q21" s="151"/>
      <c r="R21" s="140"/>
      <c r="S21" s="140"/>
    </row>
    <row r="22" ht="33.75" customHeight="1">
      <c r="A22" s="140"/>
      <c r="B22" s="140"/>
      <c r="C22" s="147">
        <f>IFERROR(__xludf.DUMMYFUNCTION("""COMPUTED_VALUE"""),5028615.0)</f>
        <v>5028615</v>
      </c>
      <c r="D22" s="148" t="str">
        <f>IFERROR(__xludf.DUMMYFUNCTION("""COMPUTED_VALUE"""),"Managing Virtual Teams")</f>
        <v>Managing Virtual Teams</v>
      </c>
      <c r="E22" s="147" t="str">
        <f>IFERROR(__xludf.DUMMYFUNCTION("""COMPUTED_VALUE"""),"Manager")</f>
        <v>Manager</v>
      </c>
      <c r="F22" s="141" t="str">
        <f>IFERROR(__xludf.DUMMYFUNCTION("""COMPUTED_VALUE"""),"Beginner + Intermediate")</f>
        <v>Beginner + Intermediate</v>
      </c>
      <c r="G22" s="143">
        <f>IFERROR(__xludf.DUMMYFUNCTION("""COMPUTED_VALUE"""),0.039050925925925926)</f>
        <v>0.03905092593</v>
      </c>
      <c r="H22" s="151"/>
      <c r="I22" s="140"/>
      <c r="J22" s="140"/>
      <c r="K22" s="140"/>
      <c r="L22" s="147">
        <f>IFERROR(__xludf.DUMMYFUNCTION("""COMPUTED_VALUE"""),696328.0)</f>
        <v>696328</v>
      </c>
      <c r="M22" s="148" t="str">
        <f>IFERROR(__xludf.DUMMYFUNCTION("""COMPUTED_VALUE"""),"New Manager Foundations")</f>
        <v>New Manager Foundations</v>
      </c>
      <c r="N22" s="147" t="str">
        <f>IFERROR(__xludf.DUMMYFUNCTION("""COMPUTED_VALUE"""),"Manager")</f>
        <v>Manager</v>
      </c>
      <c r="O22" s="141" t="str">
        <f>IFERROR(__xludf.DUMMYFUNCTION("""COMPUTED_VALUE"""),"Beginner + Intermediate")</f>
        <v>Beginner + Intermediate</v>
      </c>
      <c r="P22" s="143">
        <f>IFERROR(__xludf.DUMMYFUNCTION("""COMPUTED_VALUE"""),0.041747685185185186)</f>
        <v>0.04174768519</v>
      </c>
      <c r="Q22" s="151"/>
      <c r="R22" s="140"/>
      <c r="S22" s="140"/>
    </row>
    <row r="23" ht="33.75" customHeight="1">
      <c r="A23" s="140"/>
      <c r="B23" s="140"/>
      <c r="C23" s="147">
        <f>IFERROR(__xludf.DUMMYFUNCTION("""COMPUTED_VALUE"""),688508.0)</f>
        <v>688508</v>
      </c>
      <c r="D23" s="148" t="str">
        <f>IFERROR(__xludf.DUMMYFUNCTION("""COMPUTED_VALUE"""),"Motivating and Engaging Employees")</f>
        <v>Motivating and Engaging Employees</v>
      </c>
      <c r="E23" s="147" t="str">
        <f>IFERROR(__xludf.DUMMYFUNCTION("""COMPUTED_VALUE"""),"Manager")</f>
        <v>Manager</v>
      </c>
      <c r="F23" s="141" t="str">
        <f>IFERROR(__xludf.DUMMYFUNCTION("""COMPUTED_VALUE"""),"Beginner + Intermediate")</f>
        <v>Beginner + Intermediate</v>
      </c>
      <c r="G23" s="143">
        <f>IFERROR(__xludf.DUMMYFUNCTION("""COMPUTED_VALUE"""),0.032337962962962964)</f>
        <v>0.03233796296</v>
      </c>
      <c r="H23" s="151"/>
      <c r="I23" s="140"/>
      <c r="J23" s="140"/>
      <c r="K23" s="140"/>
      <c r="L23" s="147">
        <f>IFERROR(__xludf.DUMMYFUNCTION("""COMPUTED_VALUE"""),698662.0)</f>
        <v>698662</v>
      </c>
      <c r="M23" s="148" t="str">
        <f>IFERROR(__xludf.DUMMYFUNCTION("""COMPUTED_VALUE"""),"Business Law for Managers")</f>
        <v>Business Law for Managers</v>
      </c>
      <c r="N23" s="147" t="str">
        <f>IFERROR(__xludf.DUMMYFUNCTION("""COMPUTED_VALUE"""),"Manager")</f>
        <v>Manager</v>
      </c>
      <c r="O23" s="141" t="str">
        <f>IFERROR(__xludf.DUMMYFUNCTION("""COMPUTED_VALUE"""),"Beginner + Intermediate")</f>
        <v>Beginner + Intermediate</v>
      </c>
      <c r="P23" s="143">
        <f>IFERROR(__xludf.DUMMYFUNCTION("""COMPUTED_VALUE"""),0.03914351851851852)</f>
        <v>0.03914351852</v>
      </c>
      <c r="Q23" s="151"/>
      <c r="R23" s="140"/>
      <c r="S23" s="140"/>
    </row>
    <row r="24" ht="33.75" customHeight="1">
      <c r="A24" s="140"/>
      <c r="B24" s="140"/>
      <c r="C24" s="147">
        <f>IFERROR(__xludf.DUMMYFUNCTION("""COMPUTED_VALUE"""),693069.0)</f>
        <v>693069</v>
      </c>
      <c r="D24" s="148" t="str">
        <f>IFERROR(__xludf.DUMMYFUNCTION("""COMPUTED_VALUE"""),"Delegating Tasks")</f>
        <v>Delegating Tasks</v>
      </c>
      <c r="E24" s="147" t="str">
        <f>IFERROR(__xludf.DUMMYFUNCTION("""COMPUTED_VALUE"""),"Manager")</f>
        <v>Manager</v>
      </c>
      <c r="F24" s="141" t="str">
        <f>IFERROR(__xludf.DUMMYFUNCTION("""COMPUTED_VALUE"""),"General")</f>
        <v>General</v>
      </c>
      <c r="G24" s="143">
        <f>IFERROR(__xludf.DUMMYFUNCTION("""COMPUTED_VALUE"""),0.024212962962962964)</f>
        <v>0.02421296296</v>
      </c>
      <c r="H24" s="151"/>
      <c r="I24" s="140"/>
      <c r="J24" s="140"/>
      <c r="K24" s="140"/>
      <c r="L24" s="147">
        <f>IFERROR(__xludf.DUMMYFUNCTION("""COMPUTED_VALUE"""),5038200.0)</f>
        <v>5038200</v>
      </c>
      <c r="M24" s="148" t="str">
        <f>IFERROR(__xludf.DUMMYFUNCTION("""COMPUTED_VALUE"""),"Managing Generation Z")</f>
        <v>Managing Generation Z</v>
      </c>
      <c r="N24" s="147" t="str">
        <f>IFERROR(__xludf.DUMMYFUNCTION("""COMPUTED_VALUE"""),"Manager")</f>
        <v>Manager</v>
      </c>
      <c r="O24" s="141" t="str">
        <f>IFERROR(__xludf.DUMMYFUNCTION("""COMPUTED_VALUE"""),"General")</f>
        <v>General</v>
      </c>
      <c r="P24" s="143">
        <f>IFERROR(__xludf.DUMMYFUNCTION("""COMPUTED_VALUE"""),0.022534722222222223)</f>
        <v>0.02253472222</v>
      </c>
      <c r="Q24" s="151"/>
      <c r="R24" s="140"/>
      <c r="S24" s="140"/>
    </row>
    <row r="25" ht="33.75" customHeight="1">
      <c r="A25" s="140"/>
      <c r="B25" s="140"/>
      <c r="C25" s="147">
        <f>IFERROR(__xludf.DUMMYFUNCTION("""COMPUTED_VALUE"""),2367363.0)</f>
        <v>2367363</v>
      </c>
      <c r="D25" s="148" t="str">
        <f>IFERROR(__xludf.DUMMYFUNCTION("""COMPUTED_VALUE"""),"Using Feedback to Drive Performance")</f>
        <v>Using Feedback to Drive Performance</v>
      </c>
      <c r="E25" s="147" t="str">
        <f>IFERROR(__xludf.DUMMYFUNCTION("""COMPUTED_VALUE"""),"Manager")</f>
        <v>Manager</v>
      </c>
      <c r="F25" s="141" t="str">
        <f>IFERROR(__xludf.DUMMYFUNCTION("""COMPUTED_VALUE"""),"General")</f>
        <v>General</v>
      </c>
      <c r="G25" s="143">
        <f>IFERROR(__xludf.DUMMYFUNCTION("""COMPUTED_VALUE"""),0.05240740740740741)</f>
        <v>0.05240740741</v>
      </c>
      <c r="H25" s="151"/>
      <c r="I25" s="140"/>
      <c r="J25" s="140"/>
      <c r="K25" s="140"/>
      <c r="L25" s="147">
        <f>IFERROR(__xludf.DUMMYFUNCTION("""COMPUTED_VALUE"""),784280.0)</f>
        <v>784280</v>
      </c>
      <c r="M25" s="148" t="str">
        <f>IFERROR(__xludf.DUMMYFUNCTION("""COMPUTED_VALUE"""),"Leading Inclusive Teams")</f>
        <v>Leading Inclusive Teams</v>
      </c>
      <c r="N25" s="147" t="str">
        <f>IFERROR(__xludf.DUMMYFUNCTION("""COMPUTED_VALUE"""),"Manager")</f>
        <v>Manager</v>
      </c>
      <c r="O25" s="141" t="str">
        <f>IFERROR(__xludf.DUMMYFUNCTION("""COMPUTED_VALUE"""),"General")</f>
        <v>General</v>
      </c>
      <c r="P25" s="143">
        <f>IFERROR(__xludf.DUMMYFUNCTION("""COMPUTED_VALUE"""),0.04173611111111111)</f>
        <v>0.04173611111</v>
      </c>
      <c r="Q25" s="151"/>
      <c r="R25" s="140"/>
      <c r="S25" s="140"/>
    </row>
    <row r="26" ht="33.75" customHeight="1">
      <c r="A26" s="140"/>
      <c r="B26" s="140"/>
      <c r="C26" s="147">
        <f>IFERROR(__xludf.DUMMYFUNCTION("""COMPUTED_VALUE"""),2424655.0)</f>
        <v>2424655</v>
      </c>
      <c r="D26" s="148" t="str">
        <f>IFERROR(__xludf.DUMMYFUNCTION("""COMPUTED_VALUE"""),"Performance Management: Employee Engagement")</f>
        <v>Performance Management: Employee Engagement</v>
      </c>
      <c r="E26" s="147" t="str">
        <f>IFERROR(__xludf.DUMMYFUNCTION("""COMPUTED_VALUE"""),"Manager")</f>
        <v>Manager</v>
      </c>
      <c r="F26" s="141" t="str">
        <f>IFERROR(__xludf.DUMMYFUNCTION("""COMPUTED_VALUE"""),"Intermediate")</f>
        <v>Intermediate</v>
      </c>
      <c r="G26" s="143">
        <f>IFERROR(__xludf.DUMMYFUNCTION("""COMPUTED_VALUE"""),0.05319444444444445)</f>
        <v>0.05319444444</v>
      </c>
      <c r="H26" s="151"/>
      <c r="I26" s="140"/>
      <c r="J26" s="140"/>
      <c r="K26" s="140"/>
      <c r="L26" s="147">
        <f>IFERROR(__xludf.DUMMYFUNCTION("""COMPUTED_VALUE"""),656779.0)</f>
        <v>656779</v>
      </c>
      <c r="M26" s="148" t="str">
        <f>IFERROR(__xludf.DUMMYFUNCTION("""COMPUTED_VALUE"""),"Managing a Diverse Team")</f>
        <v>Managing a Diverse Team</v>
      </c>
      <c r="N26" s="147" t="str">
        <f>IFERROR(__xludf.DUMMYFUNCTION("""COMPUTED_VALUE"""),"Manager")</f>
        <v>Manager</v>
      </c>
      <c r="O26" s="141" t="str">
        <f>IFERROR(__xludf.DUMMYFUNCTION("""COMPUTED_VALUE"""),"Intermediate")</f>
        <v>Intermediate</v>
      </c>
      <c r="P26" s="143">
        <f>IFERROR(__xludf.DUMMYFUNCTION("""COMPUTED_VALUE"""),0.056157407407407406)</f>
        <v>0.05615740741</v>
      </c>
      <c r="Q26" s="151"/>
      <c r="R26" s="140"/>
      <c r="S26" s="140"/>
    </row>
    <row r="27" ht="33.75" customHeight="1">
      <c r="A27" s="140"/>
      <c r="B27" s="140"/>
      <c r="C27" s="147">
        <f>IFERROR(__xludf.DUMMYFUNCTION("""COMPUTED_VALUE"""),2833052.0)</f>
        <v>2833052</v>
      </c>
      <c r="D27" s="148" t="str">
        <f>IFERROR(__xludf.DUMMYFUNCTION("""COMPUTED_VALUE"""),"Managing for Results")</f>
        <v>Managing for Results</v>
      </c>
      <c r="E27" s="147" t="str">
        <f>IFERROR(__xludf.DUMMYFUNCTION("""COMPUTED_VALUE"""),"Manager")</f>
        <v>Manager</v>
      </c>
      <c r="F27" s="141" t="str">
        <f>IFERROR(__xludf.DUMMYFUNCTION("""COMPUTED_VALUE"""),"Intermediate")</f>
        <v>Intermediate</v>
      </c>
      <c r="G27" s="143">
        <f>IFERROR(__xludf.DUMMYFUNCTION("""COMPUTED_VALUE"""),0.025578703703703704)</f>
        <v>0.0255787037</v>
      </c>
      <c r="H27" s="151"/>
      <c r="I27" s="140"/>
      <c r="J27" s="140"/>
      <c r="K27" s="140"/>
      <c r="L27" s="147">
        <f>IFERROR(__xludf.DUMMYFUNCTION("""COMPUTED_VALUE"""),647652.0)</f>
        <v>647652</v>
      </c>
      <c r="M27" s="148" t="str">
        <f>IFERROR(__xludf.DUMMYFUNCTION("""COMPUTED_VALUE"""),"Igniting Emotional Engagement")</f>
        <v>Igniting Emotional Engagement</v>
      </c>
      <c r="N27" s="147" t="str">
        <f>IFERROR(__xludf.DUMMYFUNCTION("""COMPUTED_VALUE"""),"Manager")</f>
        <v>Manager</v>
      </c>
      <c r="O27" s="141" t="str">
        <f>IFERROR(__xludf.DUMMYFUNCTION("""COMPUTED_VALUE"""),"Intermediate")</f>
        <v>Intermediate</v>
      </c>
      <c r="P27" s="143">
        <f>IFERROR(__xludf.DUMMYFUNCTION("""COMPUTED_VALUE"""),0.032164351851851854)</f>
        <v>0.03216435185</v>
      </c>
      <c r="Q27" s="151"/>
      <c r="R27" s="140"/>
      <c r="S27" s="140"/>
    </row>
    <row r="28" ht="33.75" customHeight="1">
      <c r="A28" s="140"/>
      <c r="B28" s="140"/>
      <c r="C28" s="147">
        <f>IFERROR(__xludf.DUMMYFUNCTION("""COMPUTED_VALUE"""),645011.0)</f>
        <v>645011</v>
      </c>
      <c r="D28" s="148" t="str">
        <f>IFERROR(__xludf.DUMMYFUNCTION("""COMPUTED_VALUE"""),"Coaching Employees through Difficult Situations")</f>
        <v>Coaching Employees through Difficult Situations</v>
      </c>
      <c r="E28" s="147" t="str">
        <f>IFERROR(__xludf.DUMMYFUNCTION("""COMPUTED_VALUE"""),"Manager")</f>
        <v>Manager</v>
      </c>
      <c r="F28" s="141" t="str">
        <f>IFERROR(__xludf.DUMMYFUNCTION("""COMPUTED_VALUE"""),"Intermediate")</f>
        <v>Intermediate</v>
      </c>
      <c r="G28" s="143">
        <f>IFERROR(__xludf.DUMMYFUNCTION("""COMPUTED_VALUE"""),0.032824074074074075)</f>
        <v>0.03282407407</v>
      </c>
      <c r="H28" s="151"/>
      <c r="I28" s="140"/>
      <c r="J28" s="140"/>
      <c r="K28" s="140"/>
      <c r="L28" s="147">
        <f>IFERROR(__xludf.DUMMYFUNCTION("""COMPUTED_VALUE"""),2878236.0)</f>
        <v>2878236</v>
      </c>
      <c r="M28" s="148" t="str">
        <f>IFERROR(__xludf.DUMMYFUNCTION("""COMPUTED_VALUE"""),"Hiring and Supporting Neurodiversity in the Workplace")</f>
        <v>Hiring and Supporting Neurodiversity in the Workplace</v>
      </c>
      <c r="N28" s="147" t="str">
        <f>IFERROR(__xludf.DUMMYFUNCTION("""COMPUTED_VALUE"""),"Manager")</f>
        <v>Manager</v>
      </c>
      <c r="O28" s="141" t="str">
        <f>IFERROR(__xludf.DUMMYFUNCTION("""COMPUTED_VALUE"""),"Intermediate")</f>
        <v>Intermediate</v>
      </c>
      <c r="P28" s="143">
        <f>IFERROR(__xludf.DUMMYFUNCTION("""COMPUTED_VALUE"""),0.04393518518518519)</f>
        <v>0.04393518519</v>
      </c>
      <c r="Q28" s="151"/>
      <c r="R28" s="140"/>
      <c r="S28" s="140"/>
    </row>
    <row r="29" ht="33.75" customHeight="1">
      <c r="A29" s="140"/>
      <c r="B29" s="140"/>
      <c r="C29" s="147">
        <f>IFERROR(__xludf.DUMMYFUNCTION("""COMPUTED_VALUE"""),592488.0)</f>
        <v>592488</v>
      </c>
      <c r="D29" s="148" t="str">
        <f>IFERROR(__xludf.DUMMYFUNCTION("""COMPUTED_VALUE"""),"Coaching for Results")</f>
        <v>Coaching for Results</v>
      </c>
      <c r="E29" s="147" t="str">
        <f>IFERROR(__xludf.DUMMYFUNCTION("""COMPUTED_VALUE"""),"Manager")</f>
        <v>Manager</v>
      </c>
      <c r="F29" s="141" t="str">
        <f>IFERROR(__xludf.DUMMYFUNCTION("""COMPUTED_VALUE"""),"Intermediate")</f>
        <v>Intermediate</v>
      </c>
      <c r="G29" s="143">
        <f>IFERROR(__xludf.DUMMYFUNCTION("""COMPUTED_VALUE"""),0.04165509259259259)</f>
        <v>0.04165509259</v>
      </c>
      <c r="H29" s="151"/>
      <c r="I29" s="140"/>
      <c r="J29" s="140"/>
      <c r="K29" s="140"/>
      <c r="L29" s="147">
        <f>IFERROR(__xludf.DUMMYFUNCTION("""COMPUTED_VALUE"""),2892004.0)</f>
        <v>2892004</v>
      </c>
      <c r="M29" s="148" t="str">
        <f>IFERROR(__xludf.DUMMYFUNCTION("""COMPUTED_VALUE"""),"A Manager's Guide to Inclusive Teams")</f>
        <v>A Manager's Guide to Inclusive Teams</v>
      </c>
      <c r="N29" s="147" t="str">
        <f>IFERROR(__xludf.DUMMYFUNCTION("""COMPUTED_VALUE"""),"Manager")</f>
        <v>Manager</v>
      </c>
      <c r="O29" s="141" t="str">
        <f>IFERROR(__xludf.DUMMYFUNCTION("""COMPUTED_VALUE"""),"Intermediate")</f>
        <v>Intermediate</v>
      </c>
      <c r="P29" s="143">
        <f>IFERROR(__xludf.DUMMYFUNCTION("""COMPUTED_VALUE"""),0.032094907407407405)</f>
        <v>0.03209490741</v>
      </c>
      <c r="Q29" s="151"/>
      <c r="R29" s="140"/>
      <c r="S29" s="140"/>
    </row>
    <row r="30" ht="33.75" customHeight="1">
      <c r="A30" s="140"/>
      <c r="B30" s="140"/>
      <c r="C30" s="147">
        <f>IFERROR(__xludf.DUMMYFUNCTION("""COMPUTED_VALUE"""),746305.0)</f>
        <v>746305</v>
      </c>
      <c r="D30" s="148" t="str">
        <f>IFERROR(__xludf.DUMMYFUNCTION("""COMPUTED_VALUE"""),"Managing Employee Performance Problems")</f>
        <v>Managing Employee Performance Problems</v>
      </c>
      <c r="E30" s="147" t="str">
        <f>IFERROR(__xludf.DUMMYFUNCTION("""COMPUTED_VALUE"""),"Manager")</f>
        <v>Manager</v>
      </c>
      <c r="F30" s="141" t="str">
        <f>IFERROR(__xludf.DUMMYFUNCTION("""COMPUTED_VALUE"""),"Intermediate")</f>
        <v>Intermediate</v>
      </c>
      <c r="G30" s="143">
        <f>IFERROR(__xludf.DUMMYFUNCTION("""COMPUTED_VALUE"""),0.04052083333333333)</f>
        <v>0.04052083333</v>
      </c>
      <c r="H30" s="151"/>
      <c r="I30" s="140"/>
      <c r="J30" s="140"/>
      <c r="K30" s="140"/>
      <c r="L30" s="147">
        <f>IFERROR(__xludf.DUMMYFUNCTION("""COMPUTED_VALUE"""),3004945.0)</f>
        <v>3004945</v>
      </c>
      <c r="M30" s="148" t="str">
        <f>IFERROR(__xludf.DUMMYFUNCTION("""COMPUTED_VALUE"""),"Driving Inclusion with Empathy")</f>
        <v>Driving Inclusion with Empathy</v>
      </c>
      <c r="N30" s="147" t="str">
        <f>IFERROR(__xludf.DUMMYFUNCTION("""COMPUTED_VALUE"""),"Manager")</f>
        <v>Manager</v>
      </c>
      <c r="O30" s="141" t="str">
        <f>IFERROR(__xludf.DUMMYFUNCTION("""COMPUTED_VALUE"""),"Intermediate")</f>
        <v>Intermediate</v>
      </c>
      <c r="P30" s="143">
        <f>IFERROR(__xludf.DUMMYFUNCTION("""COMPUTED_VALUE"""),0.035520833333333335)</f>
        <v>0.03552083333</v>
      </c>
      <c r="Q30" s="151"/>
      <c r="R30" s="140"/>
      <c r="S30" s="140"/>
    </row>
    <row r="31" ht="33.75" customHeight="1">
      <c r="A31" s="140"/>
      <c r="B31" s="140"/>
      <c r="C31" s="147">
        <f>IFERROR(__xludf.DUMMYFUNCTION("""COMPUTED_VALUE"""),3013243.0)</f>
        <v>3013243</v>
      </c>
      <c r="D31" s="148" t="str">
        <f>IFERROR(__xludf.DUMMYFUNCTION("""COMPUTED_VALUE"""),"HR Recruiting Communication Strategies to Attract and Retain Top Talent")</f>
        <v>HR Recruiting Communication Strategies to Attract and Retain Top Talent</v>
      </c>
      <c r="E31" s="147" t="str">
        <f>IFERROR(__xludf.DUMMYFUNCTION("""COMPUTED_VALUE"""),"Manager")</f>
        <v>Manager</v>
      </c>
      <c r="F31" s="141" t="str">
        <f>IFERROR(__xludf.DUMMYFUNCTION("""COMPUTED_VALUE"""),"Intermediate")</f>
        <v>Intermediate</v>
      </c>
      <c r="G31" s="143">
        <f>IFERROR(__xludf.DUMMYFUNCTION("""COMPUTED_VALUE"""),0.024814814814814814)</f>
        <v>0.02481481481</v>
      </c>
      <c r="H31" s="151"/>
      <c r="I31" s="140"/>
      <c r="J31" s="140"/>
      <c r="K31" s="140"/>
      <c r="L31" s="147">
        <f>IFERROR(__xludf.DUMMYFUNCTION("""COMPUTED_VALUE"""),2875305.0)</f>
        <v>2875305</v>
      </c>
      <c r="M31" s="148" t="str">
        <f>IFERROR(__xludf.DUMMYFUNCTION("""COMPUTED_VALUE"""),"Empowering BIPOC through Mentorship")</f>
        <v>Empowering BIPOC through Mentorship</v>
      </c>
      <c r="N31" s="147" t="str">
        <f>IFERROR(__xludf.DUMMYFUNCTION("""COMPUTED_VALUE"""),"Individual Contributor")</f>
        <v>Individual Contributor</v>
      </c>
      <c r="O31" s="141" t="str">
        <f>IFERROR(__xludf.DUMMYFUNCTION("""COMPUTED_VALUE"""),"Beginner + Intermediate")</f>
        <v>Beginner + Intermediate</v>
      </c>
      <c r="P31" s="143">
        <f>IFERROR(__xludf.DUMMYFUNCTION("""COMPUTED_VALUE"""),0.04915509259259259)</f>
        <v>0.04915509259</v>
      </c>
      <c r="Q31" s="151"/>
      <c r="R31" s="140"/>
      <c r="S31" s="140"/>
    </row>
    <row r="32" ht="33.75" customHeight="1">
      <c r="A32" s="140"/>
      <c r="B32" s="140"/>
      <c r="C32" s="147">
        <f>IFERROR(__xludf.DUMMYFUNCTION("""COMPUTED_VALUE"""),2897423.0)</f>
        <v>2897423</v>
      </c>
      <c r="D32" s="148" t="str">
        <f>IFERROR(__xludf.DUMMYFUNCTION("""COMPUTED_VALUE"""),"Performance Management: Improving Employee Performance")</f>
        <v>Performance Management: Improving Employee Performance</v>
      </c>
      <c r="E32" s="147" t="str">
        <f>IFERROR(__xludf.DUMMYFUNCTION("""COMPUTED_VALUE"""),"Manager")</f>
        <v>Manager</v>
      </c>
      <c r="F32" s="141" t="str">
        <f>IFERROR(__xludf.DUMMYFUNCTION("""COMPUTED_VALUE"""),"Intermediate")</f>
        <v>Intermediate</v>
      </c>
      <c r="G32" s="143">
        <f>IFERROR(__xludf.DUMMYFUNCTION("""COMPUTED_VALUE"""),0.04086805555555555)</f>
        <v>0.04086805556</v>
      </c>
      <c r="H32" s="151"/>
      <c r="I32" s="140"/>
      <c r="J32" s="140"/>
      <c r="K32" s="140"/>
      <c r="L32" s="147">
        <f>IFERROR(__xludf.DUMMYFUNCTION("""COMPUTED_VALUE"""),2825692.0)</f>
        <v>2825692</v>
      </c>
      <c r="M32" s="148" t="str">
        <f>IFERROR(__xludf.DUMMYFUNCTION("""COMPUTED_VALUE"""),"Inclusive Selling: Selling Across Culture, Race, and Gender Differences")</f>
        <v>Inclusive Selling: Selling Across Culture, Race, and Gender Differences</v>
      </c>
      <c r="N32" s="147" t="str">
        <f>IFERROR(__xludf.DUMMYFUNCTION("""COMPUTED_VALUE"""),"Individual Contributor")</f>
        <v>Individual Contributor</v>
      </c>
      <c r="O32" s="141" t="str">
        <f>IFERROR(__xludf.DUMMYFUNCTION("""COMPUTED_VALUE"""),"Intermediate")</f>
        <v>Intermediate</v>
      </c>
      <c r="P32" s="143">
        <f>IFERROR(__xludf.DUMMYFUNCTION("""COMPUTED_VALUE"""),0.03408564814814815)</f>
        <v>0.03408564815</v>
      </c>
      <c r="Q32" s="151"/>
      <c r="R32" s="140"/>
      <c r="S32" s="140"/>
    </row>
    <row r="33" ht="33.75" customHeight="1">
      <c r="A33" s="140"/>
      <c r="B33" s="140"/>
      <c r="C33" s="147">
        <f>IFERROR(__xludf.DUMMYFUNCTION("""COMPUTED_VALUE"""),2823247.0)</f>
        <v>2823247</v>
      </c>
      <c r="D33" s="148" t="str">
        <f>IFERROR(__xludf.DUMMYFUNCTION("""COMPUTED_VALUE"""),"Foundations of Performance Management")</f>
        <v>Foundations of Performance Management</v>
      </c>
      <c r="E33" s="147" t="str">
        <f>IFERROR(__xludf.DUMMYFUNCTION("""COMPUTED_VALUE"""),"General")</f>
        <v>General</v>
      </c>
      <c r="F33" s="141" t="str">
        <f>IFERROR(__xludf.DUMMYFUNCTION("""COMPUTED_VALUE"""),"Advanced")</f>
        <v>Advanced</v>
      </c>
      <c r="G33" s="143">
        <f>IFERROR(__xludf.DUMMYFUNCTION("""COMPUTED_VALUE"""),0.032581018518518516)</f>
        <v>0.03258101852</v>
      </c>
      <c r="H33" s="151"/>
      <c r="I33" s="140"/>
      <c r="J33" s="140"/>
      <c r="K33" s="140"/>
      <c r="L33" s="147">
        <f>IFERROR(__xludf.DUMMYFUNCTION("""COMPUTED_VALUE"""),2424408.0)</f>
        <v>2424408</v>
      </c>
      <c r="M33" s="148" t="str">
        <f>IFERROR(__xludf.DUMMYFUNCTION("""COMPUTED_VALUE"""),"Creating Inclusive Learning Experiences")</f>
        <v>Creating Inclusive Learning Experiences</v>
      </c>
      <c r="N33" s="147" t="str">
        <f>IFERROR(__xludf.DUMMYFUNCTION("""COMPUTED_VALUE"""),"Individual Contributor")</f>
        <v>Individual Contributor</v>
      </c>
      <c r="O33" s="141" t="str">
        <f>IFERROR(__xludf.DUMMYFUNCTION("""COMPUTED_VALUE"""),"Intermediate")</f>
        <v>Intermediate</v>
      </c>
      <c r="P33" s="143">
        <f>IFERROR(__xludf.DUMMYFUNCTION("""COMPUTED_VALUE"""),0.03274305555555555)</f>
        <v>0.03274305556</v>
      </c>
      <c r="Q33" s="151"/>
      <c r="R33" s="140"/>
      <c r="S33" s="140"/>
    </row>
    <row r="34" ht="33.75" customHeight="1">
      <c r="A34" s="140"/>
      <c r="B34" s="140"/>
      <c r="C34" s="147">
        <f>IFERROR(__xludf.DUMMYFUNCTION("""COMPUTED_VALUE"""),2823138.0)</f>
        <v>2823138</v>
      </c>
      <c r="D34" s="148" t="str">
        <f>IFERROR(__xludf.DUMMYFUNCTION("""COMPUTED_VALUE"""),"Empathy Tips for HR Professionals")</f>
        <v>Empathy Tips for HR Professionals</v>
      </c>
      <c r="E34" s="147" t="str">
        <f>IFERROR(__xludf.DUMMYFUNCTION("""COMPUTED_VALUE"""),"General")</f>
        <v>General</v>
      </c>
      <c r="F34" s="141" t="str">
        <f>IFERROR(__xludf.DUMMYFUNCTION("""COMPUTED_VALUE"""),"Beginner")</f>
        <v>Beginner</v>
      </c>
      <c r="G34" s="143">
        <f>IFERROR(__xludf.DUMMYFUNCTION("""COMPUTED_VALUE"""),0.050763888888888886)</f>
        <v>0.05076388889</v>
      </c>
      <c r="H34" s="151"/>
      <c r="I34" s="140"/>
      <c r="J34" s="140"/>
      <c r="K34" s="140"/>
      <c r="L34" s="147">
        <f>IFERROR(__xludf.DUMMYFUNCTION("""COMPUTED_VALUE"""),2875147.0)</f>
        <v>2875147</v>
      </c>
      <c r="M34" s="148" t="str">
        <f>IFERROR(__xludf.DUMMYFUNCTION("""COMPUTED_VALUE"""),"How to Speak Up Against Racism at Work")</f>
        <v>How to Speak Up Against Racism at Work</v>
      </c>
      <c r="N34" s="147" t="str">
        <f>IFERROR(__xludf.DUMMYFUNCTION("""COMPUTED_VALUE"""),"Individual Contributor")</f>
        <v>Individual Contributor</v>
      </c>
      <c r="O34" s="141" t="str">
        <f>IFERROR(__xludf.DUMMYFUNCTION("""COMPUTED_VALUE"""),"General")</f>
        <v>General</v>
      </c>
      <c r="P34" s="143">
        <f>IFERROR(__xludf.DUMMYFUNCTION("""COMPUTED_VALUE"""),0.03498842592592592)</f>
        <v>0.03498842593</v>
      </c>
      <c r="Q34" s="151"/>
      <c r="R34" s="140"/>
      <c r="S34" s="140"/>
    </row>
    <row r="35" ht="33.75" customHeight="1">
      <c r="A35" s="140"/>
      <c r="B35" s="140"/>
      <c r="C35" s="147">
        <f>IFERROR(__xludf.DUMMYFUNCTION("""COMPUTED_VALUE"""),647657.0)</f>
        <v>647657</v>
      </c>
      <c r="D35" s="148" t="str">
        <f>IFERROR(__xludf.DUMMYFUNCTION("""COMPUTED_VALUE"""),"Boosting Your Team's Productivity")</f>
        <v>Boosting Your Team's Productivity</v>
      </c>
      <c r="E35" s="147" t="str">
        <f>IFERROR(__xludf.DUMMYFUNCTION("""COMPUTED_VALUE"""),"General")</f>
        <v>General</v>
      </c>
      <c r="F35" s="141" t="str">
        <f>IFERROR(__xludf.DUMMYFUNCTION("""COMPUTED_VALUE"""),"General")</f>
        <v>General</v>
      </c>
      <c r="G35" s="143">
        <f>IFERROR(__xludf.DUMMYFUNCTION("""COMPUTED_VALUE"""),0.027175925925925926)</f>
        <v>0.02717592593</v>
      </c>
      <c r="H35" s="151"/>
      <c r="I35" s="140"/>
      <c r="J35" s="140"/>
      <c r="K35" s="140"/>
      <c r="L35" s="147">
        <f>IFERROR(__xludf.DUMMYFUNCTION("""COMPUTED_VALUE"""),2878007.0)</f>
        <v>2878007</v>
      </c>
      <c r="M35" s="148" t="str">
        <f>IFERROR(__xludf.DUMMYFUNCTION("""COMPUTED_VALUE"""),"Supporting Allyship and Anti-Racism at Work")</f>
        <v>Supporting Allyship and Anti-Racism at Work</v>
      </c>
      <c r="N35" s="147" t="str">
        <f>IFERROR(__xludf.DUMMYFUNCTION("""COMPUTED_VALUE"""),"Individual Contributor")</f>
        <v>Individual Contributor</v>
      </c>
      <c r="O35" s="141" t="str">
        <f>IFERROR(__xludf.DUMMYFUNCTION("""COMPUTED_VALUE"""),"General")</f>
        <v>General</v>
      </c>
      <c r="P35" s="143">
        <f>IFERROR(__xludf.DUMMYFUNCTION("""COMPUTED_VALUE"""),0.03340277777777778)</f>
        <v>0.03340277778</v>
      </c>
      <c r="Q35" s="151"/>
      <c r="R35" s="140"/>
      <c r="S35" s="140"/>
    </row>
    <row r="36" ht="33.75" customHeight="1">
      <c r="A36" s="140"/>
      <c r="B36" s="140"/>
      <c r="C36" s="147">
        <f>IFERROR(__xludf.DUMMYFUNCTION("""COMPUTED_VALUE"""),3006178.0)</f>
        <v>3006178</v>
      </c>
      <c r="D36" s="148" t="str">
        <f>IFERROR(__xludf.DUMMYFUNCTION("""COMPUTED_VALUE"""),"The Upskilling Imperative (Blinkist Summary)")</f>
        <v>The Upskilling Imperative (Blinkist Summary)</v>
      </c>
      <c r="E36" s="147" t="str">
        <f>IFERROR(__xludf.DUMMYFUNCTION("""COMPUTED_VALUE"""),"General")</f>
        <v>General</v>
      </c>
      <c r="F36" s="141" t="str">
        <f>IFERROR(__xludf.DUMMYFUNCTION("""COMPUTED_VALUE"""),"General")</f>
        <v>General</v>
      </c>
      <c r="G36" s="143">
        <f>IFERROR(__xludf.DUMMYFUNCTION("""COMPUTED_VALUE"""),0.014861111111111111)</f>
        <v>0.01486111111</v>
      </c>
      <c r="H36" s="151"/>
      <c r="I36" s="140"/>
      <c r="J36" s="140"/>
      <c r="K36" s="140"/>
      <c r="L36" s="147">
        <f>IFERROR(__xludf.DUMMYFUNCTION("""COMPUTED_VALUE"""),2886117.0)</f>
        <v>2886117</v>
      </c>
      <c r="M36" s="148" t="str">
        <f>IFERROR(__xludf.DUMMYFUNCTION("""COMPUTED_VALUE"""),"A Guide to ERGs (Employee Resource Groups)")</f>
        <v>A Guide to ERGs (Employee Resource Groups)</v>
      </c>
      <c r="N36" s="147" t="str">
        <f>IFERROR(__xludf.DUMMYFUNCTION("""COMPUTED_VALUE"""),"Individual Contributor")</f>
        <v>Individual Contributor</v>
      </c>
      <c r="O36" s="141" t="str">
        <f>IFERROR(__xludf.DUMMYFUNCTION("""COMPUTED_VALUE"""),"General")</f>
        <v>General</v>
      </c>
      <c r="P36" s="143">
        <f>IFERROR(__xludf.DUMMYFUNCTION("""COMPUTED_VALUE"""),0.030578703703703705)</f>
        <v>0.0305787037</v>
      </c>
      <c r="Q36" s="151"/>
      <c r="R36" s="140"/>
      <c r="S36" s="140"/>
    </row>
    <row r="37" ht="33.75" customHeight="1">
      <c r="A37" s="140"/>
      <c r="B37" s="140"/>
      <c r="C37" s="147">
        <f>IFERROR(__xludf.DUMMYFUNCTION("""COMPUTED_VALUE"""),808667.0)</f>
        <v>808667</v>
      </c>
      <c r="D37" s="148" t="str">
        <f>IFERROR(__xludf.DUMMYFUNCTION("""COMPUTED_VALUE"""),"Building a Coaching Culture: Improving Performance Through Timely Feedback")</f>
        <v>Building a Coaching Culture: Improving Performance Through Timely Feedback</v>
      </c>
      <c r="E37" s="147" t="str">
        <f>IFERROR(__xludf.DUMMYFUNCTION("""COMPUTED_VALUE"""),"General")</f>
        <v>General</v>
      </c>
      <c r="F37" s="141" t="str">
        <f>IFERROR(__xludf.DUMMYFUNCTION("""COMPUTED_VALUE"""),"Intermediate")</f>
        <v>Intermediate</v>
      </c>
      <c r="G37" s="143">
        <f>IFERROR(__xludf.DUMMYFUNCTION("""COMPUTED_VALUE"""),0.04760416666666667)</f>
        <v>0.04760416667</v>
      </c>
      <c r="H37" s="151"/>
      <c r="I37" s="140"/>
      <c r="J37" s="140"/>
      <c r="K37" s="140"/>
      <c r="L37" s="147">
        <f>IFERROR(__xludf.DUMMYFUNCTION("""COMPUTED_VALUE"""),664811.0)</f>
        <v>664811</v>
      </c>
      <c r="M37" s="148" t="str">
        <f>IFERROR(__xludf.DUMMYFUNCTION("""COMPUTED_VALUE"""),"Diversity and Inclusion in a Global Enterprise")</f>
        <v>Diversity and Inclusion in a Global Enterprise</v>
      </c>
      <c r="N37" s="147" t="str">
        <f>IFERROR(__xludf.DUMMYFUNCTION("""COMPUTED_VALUE"""),"General")</f>
        <v>General</v>
      </c>
      <c r="O37" s="141" t="str">
        <f>IFERROR(__xludf.DUMMYFUNCTION("""COMPUTED_VALUE"""),"Advanced")</f>
        <v>Advanced</v>
      </c>
      <c r="P37" s="143">
        <f>IFERROR(__xludf.DUMMYFUNCTION("""COMPUTED_VALUE"""),0.037002314814814814)</f>
        <v>0.03700231481</v>
      </c>
      <c r="Q37" s="151"/>
      <c r="R37" s="140"/>
      <c r="S37" s="140"/>
    </row>
    <row r="38" ht="33.75" customHeight="1">
      <c r="A38" s="140"/>
      <c r="B38" s="140"/>
      <c r="C38" s="147">
        <f>IFERROR(__xludf.DUMMYFUNCTION("""COMPUTED_VALUE"""),769279.0)</f>
        <v>769279</v>
      </c>
      <c r="D38" s="148" t="str">
        <f>IFERROR(__xludf.DUMMYFUNCTION("""COMPUTED_VALUE"""),"Driving Workplace Happiness")</f>
        <v>Driving Workplace Happiness</v>
      </c>
      <c r="E38" s="147" t="str">
        <f>IFERROR(__xludf.DUMMYFUNCTION("""COMPUTED_VALUE"""),"General")</f>
        <v>General</v>
      </c>
      <c r="F38" s="141" t="str">
        <f>IFERROR(__xludf.DUMMYFUNCTION("""COMPUTED_VALUE"""),"Intermediate")</f>
        <v>Intermediate</v>
      </c>
      <c r="G38" s="143">
        <f>IFERROR(__xludf.DUMMYFUNCTION("""COMPUTED_VALUE"""),0.03405092592592593)</f>
        <v>0.03405092593</v>
      </c>
      <c r="H38" s="151"/>
      <c r="I38" s="140"/>
      <c r="J38" s="140"/>
      <c r="K38" s="140"/>
      <c r="L38" s="147">
        <f>IFERROR(__xludf.DUMMYFUNCTION("""COMPUTED_VALUE"""),5022325.0)</f>
        <v>5022325</v>
      </c>
      <c r="M38" s="148" t="str">
        <f>IFERROR(__xludf.DUMMYFUNCTION("""COMPUTED_VALUE"""),"Leveraging Neuroscience in the Workplace")</f>
        <v>Leveraging Neuroscience in the Workplace</v>
      </c>
      <c r="N38" s="147" t="str">
        <f>IFERROR(__xludf.DUMMYFUNCTION("""COMPUTED_VALUE"""),"General")</f>
        <v>General</v>
      </c>
      <c r="O38" s="141" t="str">
        <f>IFERROR(__xludf.DUMMYFUNCTION("""COMPUTED_VALUE"""),"Advanced")</f>
        <v>Advanced</v>
      </c>
      <c r="P38" s="143">
        <f>IFERROR(__xludf.DUMMYFUNCTION("""COMPUTED_VALUE"""),0.044537037037037035)</f>
        <v>0.04453703704</v>
      </c>
      <c r="Q38" s="151"/>
      <c r="R38" s="140"/>
      <c r="S38" s="140"/>
    </row>
    <row r="39" ht="33.75" customHeight="1">
      <c r="A39" s="140"/>
      <c r="B39" s="140"/>
      <c r="C39" s="147">
        <f>IFERROR(__xludf.DUMMYFUNCTION("""COMPUTED_VALUE"""),2228265.0)</f>
        <v>2228265</v>
      </c>
      <c r="D39" s="148" t="str">
        <f>IFERROR(__xludf.DUMMYFUNCTION("""COMPUTED_VALUE"""),"Interviewing Techniques")</f>
        <v>Interviewing Techniques</v>
      </c>
      <c r="E39" s="147" t="str">
        <f>IFERROR(__xludf.DUMMYFUNCTION("""COMPUTED_VALUE"""),"General")</f>
        <v>General</v>
      </c>
      <c r="F39" s="141" t="str">
        <f>IFERROR(__xludf.DUMMYFUNCTION("""COMPUTED_VALUE"""),"Intermediate")</f>
        <v>Intermediate</v>
      </c>
      <c r="G39" s="143">
        <f>IFERROR(__xludf.DUMMYFUNCTION("""COMPUTED_VALUE"""),0.05399305555555556)</f>
        <v>0.05399305556</v>
      </c>
      <c r="H39" s="151"/>
      <c r="I39" s="140"/>
      <c r="J39" s="140"/>
      <c r="K39" s="140"/>
      <c r="L39" s="147">
        <f>IFERROR(__xludf.DUMMYFUNCTION("""COMPUTED_VALUE"""),2877283.0)</f>
        <v>2877283</v>
      </c>
      <c r="M39" s="148" t="str">
        <f>IFERROR(__xludf.DUMMYFUNCTION("""COMPUTED_VALUE"""),"Creating a Great Place to Work for All")</f>
        <v>Creating a Great Place to Work for All</v>
      </c>
      <c r="N39" s="147" t="str">
        <f>IFERROR(__xludf.DUMMYFUNCTION("""COMPUTED_VALUE"""),"General")</f>
        <v>General</v>
      </c>
      <c r="O39" s="141" t="str">
        <f>IFERROR(__xludf.DUMMYFUNCTION("""COMPUTED_VALUE"""),"Beginner")</f>
        <v>Beginner</v>
      </c>
      <c r="P39" s="143">
        <f>IFERROR(__xludf.DUMMYFUNCTION("""COMPUTED_VALUE"""),0.013217592592592593)</f>
        <v>0.01321759259</v>
      </c>
      <c r="Q39" s="151"/>
      <c r="R39" s="140"/>
      <c r="S39" s="140"/>
    </row>
    <row r="40" ht="33.75" customHeight="1">
      <c r="A40" s="140"/>
      <c r="B40" s="140"/>
      <c r="C40" s="147">
        <f>IFERROR(__xludf.DUMMYFUNCTION("""COMPUTED_VALUE"""),2825499.0)</f>
        <v>2825499</v>
      </c>
      <c r="D40" s="148" t="str">
        <f>IFERROR(__xludf.DUMMYFUNCTION("""COMPUTED_VALUE"""),"Predictive Analytics Essential Training for Executives")</f>
        <v>Predictive Analytics Essential Training for Executives</v>
      </c>
      <c r="E40" s="147" t="str">
        <f>IFERROR(__xludf.DUMMYFUNCTION("""COMPUTED_VALUE"""),"General")</f>
        <v>General</v>
      </c>
      <c r="F40" s="141" t="str">
        <f>IFERROR(__xludf.DUMMYFUNCTION("""COMPUTED_VALUE"""),"Intermediate")</f>
        <v>Intermediate</v>
      </c>
      <c r="G40" s="143">
        <f>IFERROR(__xludf.DUMMYFUNCTION("""COMPUTED_VALUE"""),0.05576388888888889)</f>
        <v>0.05576388889</v>
      </c>
      <c r="H40" s="151"/>
      <c r="I40" s="140"/>
      <c r="J40" s="140"/>
      <c r="K40" s="140"/>
      <c r="L40" s="147">
        <f>IFERROR(__xludf.DUMMYFUNCTION("""COMPUTED_VALUE"""),2837225.0)</f>
        <v>2837225</v>
      </c>
      <c r="M40" s="148" t="str">
        <f>IFERROR(__xludf.DUMMYFUNCTION("""COMPUTED_VALUE"""),"Out and Proud: Approaching LGBT Issues in the Workplace")</f>
        <v>Out and Proud: Approaching LGBT Issues in the Workplace</v>
      </c>
      <c r="N40" s="147" t="str">
        <f>IFERROR(__xludf.DUMMYFUNCTION("""COMPUTED_VALUE"""),"General")</f>
        <v>General</v>
      </c>
      <c r="O40" s="141" t="str">
        <f>IFERROR(__xludf.DUMMYFUNCTION("""COMPUTED_VALUE"""),"Beginner")</f>
        <v>Beginner</v>
      </c>
      <c r="P40" s="143">
        <f>IFERROR(__xludf.DUMMYFUNCTION("""COMPUTED_VALUE"""),0.01357638888888889)</f>
        <v>0.01357638889</v>
      </c>
      <c r="Q40" s="151"/>
      <c r="R40" s="140"/>
      <c r="S40" s="140"/>
    </row>
    <row r="41" ht="33.75" customHeight="1">
      <c r="A41" s="140"/>
      <c r="B41" s="140"/>
      <c r="C41" s="147">
        <f>IFERROR(__xludf.DUMMYFUNCTION("""COMPUTED_VALUE"""),2832050.0)</f>
        <v>2832050</v>
      </c>
      <c r="D41" s="148" t="str">
        <f>IFERROR(__xludf.DUMMYFUNCTION("""COMPUTED_VALUE"""),"Running a Design Business: The Staffing Rule Book")</f>
        <v>Running a Design Business: The Staffing Rule Book</v>
      </c>
      <c r="E41" s="147" t="str">
        <f>IFERROR(__xludf.DUMMYFUNCTION("""COMPUTED_VALUE"""),"General")</f>
        <v>General</v>
      </c>
      <c r="F41" s="141" t="str">
        <f>IFERROR(__xludf.DUMMYFUNCTION("""COMPUTED_VALUE"""),"Intermediate")</f>
        <v>Intermediate</v>
      </c>
      <c r="G41" s="143">
        <f>IFERROR(__xludf.DUMMYFUNCTION("""COMPUTED_VALUE"""),0.04538194444444445)</f>
        <v>0.04538194444</v>
      </c>
      <c r="H41" s="151"/>
      <c r="I41" s="140"/>
      <c r="J41" s="140"/>
      <c r="K41" s="140"/>
      <c r="L41" s="147">
        <f>IFERROR(__xludf.DUMMYFUNCTION("""COMPUTED_VALUE"""),2819028.0)</f>
        <v>2819028</v>
      </c>
      <c r="M41" s="148" t="str">
        <f>IFERROR(__xludf.DUMMYFUNCTION("""COMPUTED_VALUE"""),"Diversity, Inclusion, and Belonging")</f>
        <v>Diversity, Inclusion, and Belonging</v>
      </c>
      <c r="N41" s="147" t="str">
        <f>IFERROR(__xludf.DUMMYFUNCTION("""COMPUTED_VALUE"""),"General")</f>
        <v>General</v>
      </c>
      <c r="O41" s="141" t="str">
        <f>IFERROR(__xludf.DUMMYFUNCTION("""COMPUTED_VALUE"""),"Beginner")</f>
        <v>Beginner</v>
      </c>
      <c r="P41" s="143">
        <f>IFERROR(__xludf.DUMMYFUNCTION("""COMPUTED_VALUE"""),0.032858796296296296)</f>
        <v>0.0328587963</v>
      </c>
      <c r="Q41" s="151"/>
      <c r="R41" s="140"/>
      <c r="S41" s="140"/>
    </row>
    <row r="42" ht="33.75" customHeight="1">
      <c r="A42" s="140"/>
      <c r="B42" s="140"/>
      <c r="C42" s="147">
        <f>IFERROR(__xludf.DUMMYFUNCTION("""COMPUTED_VALUE"""),2823546.0)</f>
        <v>2823546</v>
      </c>
      <c r="D42" s="148" t="str">
        <f>IFERROR(__xludf.DUMMYFUNCTION("""COMPUTED_VALUE"""),"Rolling Out a Diversity and Inclusion Training Program in Your Company")</f>
        <v>Rolling Out a Diversity and Inclusion Training Program in Your Company</v>
      </c>
      <c r="E42" s="147" t="str">
        <f>IFERROR(__xludf.DUMMYFUNCTION("""COMPUTED_VALUE"""),"General")</f>
        <v>General</v>
      </c>
      <c r="F42" s="141" t="str">
        <f>IFERROR(__xludf.DUMMYFUNCTION("""COMPUTED_VALUE"""),"Intermediate")</f>
        <v>Intermediate</v>
      </c>
      <c r="G42" s="143">
        <f>IFERROR(__xludf.DUMMYFUNCTION("""COMPUTED_VALUE"""),0.026018518518518517)</f>
        <v>0.02601851852</v>
      </c>
      <c r="H42" s="151"/>
      <c r="I42" s="140"/>
      <c r="J42" s="140"/>
      <c r="K42" s="140"/>
      <c r="L42" s="147">
        <f>IFERROR(__xludf.DUMMYFUNCTION("""COMPUTED_VALUE"""),794118.0)</f>
        <v>794118</v>
      </c>
      <c r="M42" s="148" t="str">
        <f>IFERROR(__xludf.DUMMYFUNCTION("""COMPUTED_VALUE"""),"Teaching Civility in the Workplace")</f>
        <v>Teaching Civility in the Workplace</v>
      </c>
      <c r="N42" s="147" t="str">
        <f>IFERROR(__xludf.DUMMYFUNCTION("""COMPUTED_VALUE"""),"General")</f>
        <v>General</v>
      </c>
      <c r="O42" s="141" t="str">
        <f>IFERROR(__xludf.DUMMYFUNCTION("""COMPUTED_VALUE"""),"Beginner")</f>
        <v>Beginner</v>
      </c>
      <c r="P42" s="143">
        <f>IFERROR(__xludf.DUMMYFUNCTION("""COMPUTED_VALUE"""),0.03491898148148148)</f>
        <v>0.03491898148</v>
      </c>
      <c r="Q42" s="151"/>
      <c r="R42" s="140"/>
      <c r="S42" s="140"/>
    </row>
    <row r="43" ht="33.75" customHeight="1">
      <c r="A43" s="140"/>
      <c r="B43" s="140"/>
      <c r="C43" s="147"/>
      <c r="D43" s="153"/>
      <c r="E43" s="147"/>
      <c r="F43" s="141"/>
      <c r="G43" s="141"/>
      <c r="H43" s="151"/>
      <c r="I43" s="140"/>
      <c r="J43" s="140"/>
      <c r="K43" s="140"/>
      <c r="L43" s="147">
        <f>IFERROR(__xludf.DUMMYFUNCTION("""COMPUTED_VALUE"""),2807859.0)</f>
        <v>2807859</v>
      </c>
      <c r="M43" s="148" t="str">
        <f>IFERROR(__xludf.DUMMYFUNCTION("""COMPUTED_VALUE"""),"Women Transforming Tech: Voices from the Field")</f>
        <v>Women Transforming Tech: Voices from the Field</v>
      </c>
      <c r="N43" s="147" t="str">
        <f>IFERROR(__xludf.DUMMYFUNCTION("""COMPUTED_VALUE"""),"General")</f>
        <v>General</v>
      </c>
      <c r="O43" s="141" t="str">
        <f>IFERROR(__xludf.DUMMYFUNCTION("""COMPUTED_VALUE"""),"Beginner")</f>
        <v>Beginner</v>
      </c>
      <c r="P43" s="143">
        <f>IFERROR(__xludf.DUMMYFUNCTION("""COMPUTED_VALUE"""),0.01778935185185185)</f>
        <v>0.01778935185</v>
      </c>
      <c r="Q43" s="151"/>
      <c r="R43" s="140"/>
      <c r="S43" s="140"/>
    </row>
    <row r="44" ht="33.75" customHeight="1">
      <c r="A44" s="140"/>
      <c r="B44" s="140"/>
      <c r="C44" s="147"/>
      <c r="D44" s="153"/>
      <c r="E44" s="147"/>
      <c r="F44" s="141"/>
      <c r="G44" s="141"/>
      <c r="H44" s="151"/>
      <c r="I44" s="140"/>
      <c r="J44" s="140"/>
      <c r="K44" s="140"/>
      <c r="L44" s="147">
        <f>IFERROR(__xludf.DUMMYFUNCTION("""COMPUTED_VALUE"""),2810166.0)</f>
        <v>2810166</v>
      </c>
      <c r="M44" s="148" t="str">
        <f>IFERROR(__xludf.DUMMYFUNCTION("""COMPUTED_VALUE"""),"Women Transforming Tech: Breaking Bias")</f>
        <v>Women Transforming Tech: Breaking Bias</v>
      </c>
      <c r="N44" s="147" t="str">
        <f>IFERROR(__xludf.DUMMYFUNCTION("""COMPUTED_VALUE"""),"General")</f>
        <v>General</v>
      </c>
      <c r="O44" s="141" t="str">
        <f>IFERROR(__xludf.DUMMYFUNCTION("""COMPUTED_VALUE"""),"Beginner")</f>
        <v>Beginner</v>
      </c>
      <c r="P44" s="143">
        <f>IFERROR(__xludf.DUMMYFUNCTION("""COMPUTED_VALUE"""),0.015532407407407408)</f>
        <v>0.01553240741</v>
      </c>
      <c r="Q44" s="151"/>
      <c r="R44" s="140"/>
      <c r="S44" s="140"/>
    </row>
    <row r="45" ht="33.75" customHeight="1">
      <c r="A45" s="140"/>
      <c r="B45" s="140"/>
      <c r="C45" s="147"/>
      <c r="D45" s="153"/>
      <c r="E45" s="147"/>
      <c r="F45" s="141"/>
      <c r="G45" s="141"/>
      <c r="H45" s="151"/>
      <c r="I45" s="140"/>
      <c r="J45" s="140"/>
      <c r="K45" s="140"/>
      <c r="L45" s="147">
        <f>IFERROR(__xludf.DUMMYFUNCTION("""COMPUTED_VALUE"""),765323.0)</f>
        <v>765323</v>
      </c>
      <c r="M45" s="148" t="str">
        <f>IFERROR(__xludf.DUMMYFUNCTION("""COMPUTED_VALUE"""),"Teaching with LinkedIn Learning")</f>
        <v>Teaching with LinkedIn Learning</v>
      </c>
      <c r="N45" s="147" t="str">
        <f>IFERROR(__xludf.DUMMYFUNCTION("""COMPUTED_VALUE"""),"General")</f>
        <v>General</v>
      </c>
      <c r="O45" s="141" t="str">
        <f>IFERROR(__xludf.DUMMYFUNCTION("""COMPUTED_VALUE"""),"Beginner")</f>
        <v>Beginner</v>
      </c>
      <c r="P45" s="143">
        <f>IFERROR(__xludf.DUMMYFUNCTION("""COMPUTED_VALUE"""),0.033587962962962965)</f>
        <v>0.03358796296</v>
      </c>
      <c r="Q45" s="151"/>
      <c r="R45" s="140"/>
      <c r="S45" s="140"/>
    </row>
    <row r="46" ht="33.75" customHeight="1">
      <c r="A46" s="140"/>
      <c r="B46" s="140"/>
      <c r="C46" s="147"/>
      <c r="D46" s="153"/>
      <c r="E46" s="147"/>
      <c r="F46" s="141"/>
      <c r="G46" s="141"/>
      <c r="H46" s="151"/>
      <c r="I46" s="140"/>
      <c r="J46" s="140"/>
      <c r="K46" s="140"/>
      <c r="L46" s="147">
        <f>IFERROR(__xludf.DUMMYFUNCTION("""COMPUTED_VALUE"""),797726.0)</f>
        <v>797726</v>
      </c>
      <c r="M46" s="148" t="str">
        <f>IFERROR(__xludf.DUMMYFUNCTION("""COMPUTED_VALUE"""),"Marketing to Diverse Audiences")</f>
        <v>Marketing to Diverse Audiences</v>
      </c>
      <c r="N46" s="147" t="str">
        <f>IFERROR(__xludf.DUMMYFUNCTION("""COMPUTED_VALUE"""),"General")</f>
        <v>General</v>
      </c>
      <c r="O46" s="141" t="str">
        <f>IFERROR(__xludf.DUMMYFUNCTION("""COMPUTED_VALUE"""),"Beginner")</f>
        <v>Beginner</v>
      </c>
      <c r="P46" s="143">
        <f>IFERROR(__xludf.DUMMYFUNCTION("""COMPUTED_VALUE"""),0.035659722222222225)</f>
        <v>0.03565972222</v>
      </c>
      <c r="Q46" s="151"/>
      <c r="R46" s="140"/>
      <c r="S46" s="140"/>
    </row>
    <row r="47" ht="33.75" customHeight="1">
      <c r="A47" s="140"/>
      <c r="B47" s="140"/>
      <c r="C47" s="147"/>
      <c r="D47" s="153"/>
      <c r="E47" s="147"/>
      <c r="F47" s="141"/>
      <c r="G47" s="141"/>
      <c r="H47" s="151"/>
      <c r="I47" s="140"/>
      <c r="J47" s="140"/>
      <c r="K47" s="140"/>
      <c r="L47" s="147">
        <f>IFERROR(__xludf.DUMMYFUNCTION("""COMPUTED_VALUE"""),2812492.0)</f>
        <v>2812492</v>
      </c>
      <c r="M47" s="148" t="str">
        <f>IFERROR(__xludf.DUMMYFUNCTION("""COMPUTED_VALUE"""),"Overcoming Imposter Syndrome")</f>
        <v>Overcoming Imposter Syndrome</v>
      </c>
      <c r="N47" s="147" t="str">
        <f>IFERROR(__xludf.DUMMYFUNCTION("""COMPUTED_VALUE"""),"General")</f>
        <v>General</v>
      </c>
      <c r="O47" s="141" t="str">
        <f>IFERROR(__xludf.DUMMYFUNCTION("""COMPUTED_VALUE"""),"Beginner")</f>
        <v>Beginner</v>
      </c>
      <c r="P47" s="143">
        <f>IFERROR(__xludf.DUMMYFUNCTION("""COMPUTED_VALUE"""),0.02224537037037037)</f>
        <v>0.02224537037</v>
      </c>
      <c r="Q47" s="151"/>
      <c r="R47" s="140"/>
      <c r="S47" s="140"/>
    </row>
    <row r="48" ht="33.75" customHeight="1">
      <c r="A48" s="140"/>
      <c r="B48" s="140"/>
      <c r="C48" s="147"/>
      <c r="D48" s="153"/>
      <c r="E48" s="147"/>
      <c r="F48" s="141"/>
      <c r="G48" s="141"/>
      <c r="H48" s="151"/>
      <c r="I48" s="140"/>
      <c r="J48" s="140"/>
      <c r="K48" s="140"/>
      <c r="L48" s="147">
        <f>IFERROR(__xludf.DUMMYFUNCTION("""COMPUTED_VALUE"""),2811024.0)</f>
        <v>2811024</v>
      </c>
      <c r="M48" s="148" t="str">
        <f>IFERROR(__xludf.DUMMYFUNCTION("""COMPUTED_VALUE"""),"Women Transforming Tech: Building Your Brand")</f>
        <v>Women Transforming Tech: Building Your Brand</v>
      </c>
      <c r="N48" s="147" t="str">
        <f>IFERROR(__xludf.DUMMYFUNCTION("""COMPUTED_VALUE"""),"General")</f>
        <v>General</v>
      </c>
      <c r="O48" s="141" t="str">
        <f>IFERROR(__xludf.DUMMYFUNCTION("""COMPUTED_VALUE"""),"Beginner")</f>
        <v>Beginner</v>
      </c>
      <c r="P48" s="143">
        <f>IFERROR(__xludf.DUMMYFUNCTION("""COMPUTED_VALUE"""),0.009780092592592592)</f>
        <v>0.009780092593</v>
      </c>
      <c r="Q48" s="151"/>
      <c r="R48" s="140"/>
      <c r="S48" s="140"/>
    </row>
    <row r="49" ht="33.75" customHeight="1">
      <c r="A49" s="140"/>
      <c r="B49" s="140"/>
      <c r="C49" s="147"/>
      <c r="D49" s="153"/>
      <c r="E49" s="147"/>
      <c r="F49" s="141"/>
      <c r="G49" s="141"/>
      <c r="H49" s="151"/>
      <c r="I49" s="140"/>
      <c r="J49" s="140"/>
      <c r="K49" s="140"/>
      <c r="L49" s="147">
        <f>IFERROR(__xludf.DUMMYFUNCTION("""COMPUTED_VALUE"""),2805907.0)</f>
        <v>2805907</v>
      </c>
      <c r="M49" s="148" t="str">
        <f>IFERROR(__xludf.DUMMYFUNCTION("""COMPUTED_VALUE"""),"Women Transforming Tech: Finding Sponsors")</f>
        <v>Women Transforming Tech: Finding Sponsors</v>
      </c>
      <c r="N49" s="147" t="str">
        <f>IFERROR(__xludf.DUMMYFUNCTION("""COMPUTED_VALUE"""),"General")</f>
        <v>General</v>
      </c>
      <c r="O49" s="141" t="str">
        <f>IFERROR(__xludf.DUMMYFUNCTION("""COMPUTED_VALUE"""),"Beginner")</f>
        <v>Beginner</v>
      </c>
      <c r="P49" s="143">
        <f>IFERROR(__xludf.DUMMYFUNCTION("""COMPUTED_VALUE"""),0.00949074074074074)</f>
        <v>0.009490740741</v>
      </c>
      <c r="Q49" s="151"/>
      <c r="R49" s="140"/>
      <c r="S49" s="140"/>
    </row>
    <row r="50" ht="33.75" customHeight="1">
      <c r="A50" s="140"/>
      <c r="B50" s="140"/>
      <c r="C50" s="147"/>
      <c r="D50" s="153"/>
      <c r="E50" s="147"/>
      <c r="F50" s="141"/>
      <c r="G50" s="141"/>
      <c r="H50" s="151"/>
      <c r="I50" s="140"/>
      <c r="J50" s="140"/>
      <c r="K50" s="140"/>
      <c r="L50" s="147">
        <f>IFERROR(__xludf.DUMMYFUNCTION("""COMPUTED_VALUE"""),2807858.0)</f>
        <v>2807858</v>
      </c>
      <c r="M50" s="148" t="str">
        <f>IFERROR(__xludf.DUMMYFUNCTION("""COMPUTED_VALUE"""),"Women Transforming Tech: Getting Strategic with Your Career")</f>
        <v>Women Transforming Tech: Getting Strategic with Your Career</v>
      </c>
      <c r="N50" s="147" t="str">
        <f>IFERROR(__xludf.DUMMYFUNCTION("""COMPUTED_VALUE"""),"General")</f>
        <v>General</v>
      </c>
      <c r="O50" s="141" t="str">
        <f>IFERROR(__xludf.DUMMYFUNCTION("""COMPUTED_VALUE"""),"Beginner")</f>
        <v>Beginner</v>
      </c>
      <c r="P50" s="143">
        <f>IFERROR(__xludf.DUMMYFUNCTION("""COMPUTED_VALUE"""),0.011689814814814814)</f>
        <v>0.01168981481</v>
      </c>
      <c r="Q50" s="151"/>
      <c r="R50" s="140"/>
      <c r="S50" s="140"/>
    </row>
    <row r="51" ht="33.75" customHeight="1">
      <c r="A51" s="140"/>
      <c r="B51" s="140"/>
      <c r="C51" s="147"/>
      <c r="D51" s="153"/>
      <c r="E51" s="147"/>
      <c r="F51" s="141"/>
      <c r="G51" s="141"/>
      <c r="H51" s="151"/>
      <c r="I51" s="140"/>
      <c r="J51" s="140"/>
      <c r="K51" s="140"/>
      <c r="L51" s="147">
        <f>IFERROR(__xludf.DUMMYFUNCTION("""COMPUTED_VALUE"""),2808545.0)</f>
        <v>2808545</v>
      </c>
      <c r="M51" s="148" t="str">
        <f>IFERROR(__xludf.DUMMYFUNCTION("""COMPUTED_VALUE"""),"Women Transforming Tech: Networking")</f>
        <v>Women Transforming Tech: Networking</v>
      </c>
      <c r="N51" s="147" t="str">
        <f>IFERROR(__xludf.DUMMYFUNCTION("""COMPUTED_VALUE"""),"General")</f>
        <v>General</v>
      </c>
      <c r="O51" s="141" t="str">
        <f>IFERROR(__xludf.DUMMYFUNCTION("""COMPUTED_VALUE"""),"Beginner")</f>
        <v>Beginner</v>
      </c>
      <c r="P51" s="143">
        <f>IFERROR(__xludf.DUMMYFUNCTION("""COMPUTED_VALUE"""),0.013726851851851851)</f>
        <v>0.01372685185</v>
      </c>
      <c r="Q51" s="151"/>
      <c r="R51" s="140"/>
      <c r="S51" s="140"/>
    </row>
    <row r="52" ht="33.75" customHeight="1">
      <c r="A52" s="140"/>
      <c r="B52" s="140"/>
      <c r="C52" s="147"/>
      <c r="D52" s="153"/>
      <c r="E52" s="147"/>
      <c r="F52" s="141"/>
      <c r="G52" s="141"/>
      <c r="H52" s="151"/>
      <c r="I52" s="140"/>
      <c r="J52" s="140"/>
      <c r="K52" s="140"/>
      <c r="L52" s="147">
        <f>IFERROR(__xludf.DUMMYFUNCTION("""COMPUTED_VALUE"""),2825335.0)</f>
        <v>2825335</v>
      </c>
      <c r="M52" s="148" t="str">
        <f>IFERROR(__xludf.DUMMYFUNCTION("""COMPUTED_VALUE"""),"Finding and Doing the One Thing")</f>
        <v>Finding and Doing the One Thing</v>
      </c>
      <c r="N52" s="147" t="str">
        <f>IFERROR(__xludf.DUMMYFUNCTION("""COMPUTED_VALUE"""),"General")</f>
        <v>General</v>
      </c>
      <c r="O52" s="141" t="str">
        <f>IFERROR(__xludf.DUMMYFUNCTION("""COMPUTED_VALUE"""),"Beginner")</f>
        <v>Beginner</v>
      </c>
      <c r="P52" s="143">
        <f>IFERROR(__xludf.DUMMYFUNCTION("""COMPUTED_VALUE"""),0.01480324074074074)</f>
        <v>0.01480324074</v>
      </c>
      <c r="Q52" s="151"/>
      <c r="R52" s="140"/>
      <c r="S52" s="140"/>
    </row>
    <row r="53" ht="33.75" customHeight="1">
      <c r="A53" s="140"/>
      <c r="B53" s="140"/>
      <c r="C53" s="147"/>
      <c r="D53" s="153"/>
      <c r="E53" s="147"/>
      <c r="F53" s="141"/>
      <c r="G53" s="141"/>
      <c r="H53" s="151"/>
      <c r="I53" s="140"/>
      <c r="J53" s="140"/>
      <c r="K53" s="140"/>
      <c r="L53" s="147">
        <f>IFERROR(__xludf.DUMMYFUNCTION("""COMPUTED_VALUE"""),2813256.0)</f>
        <v>2813256</v>
      </c>
      <c r="M53" s="148" t="str">
        <f>IFERROR(__xludf.DUMMYFUNCTION("""COMPUTED_VALUE"""),"Connecting with Your Millennial Manager")</f>
        <v>Connecting with Your Millennial Manager</v>
      </c>
      <c r="N53" s="147" t="str">
        <f>IFERROR(__xludf.DUMMYFUNCTION("""COMPUTED_VALUE"""),"General")</f>
        <v>General</v>
      </c>
      <c r="O53" s="141" t="str">
        <f>IFERROR(__xludf.DUMMYFUNCTION("""COMPUTED_VALUE"""),"Beginner")</f>
        <v>Beginner</v>
      </c>
      <c r="P53" s="143">
        <f>IFERROR(__xludf.DUMMYFUNCTION("""COMPUTED_VALUE"""),0.026412037037037036)</f>
        <v>0.02641203704</v>
      </c>
      <c r="Q53" s="151"/>
      <c r="R53" s="140"/>
      <c r="S53" s="140"/>
    </row>
    <row r="54" ht="33.75" customHeight="1">
      <c r="A54" s="140"/>
      <c r="B54" s="140"/>
      <c r="C54" s="147"/>
      <c r="D54" s="153"/>
      <c r="E54" s="147"/>
      <c r="F54" s="141"/>
      <c r="G54" s="141"/>
      <c r="H54" s="151"/>
      <c r="I54" s="140"/>
      <c r="J54" s="140"/>
      <c r="K54" s="140"/>
      <c r="L54" s="147">
        <f>IFERROR(__xludf.DUMMYFUNCTION("""COMPUTED_VALUE"""),2841554.0)</f>
        <v>2841554</v>
      </c>
      <c r="M54" s="148" t="str">
        <f>IFERROR(__xludf.DUMMYFUNCTION("""COMPUTED_VALUE"""),"Inclusion During Difficult Times")</f>
        <v>Inclusion During Difficult Times</v>
      </c>
      <c r="N54" s="147" t="str">
        <f>IFERROR(__xludf.DUMMYFUNCTION("""COMPUTED_VALUE"""),"General")</f>
        <v>General</v>
      </c>
      <c r="O54" s="141" t="str">
        <f>IFERROR(__xludf.DUMMYFUNCTION("""COMPUTED_VALUE"""),"Beginner")</f>
        <v>Beginner</v>
      </c>
      <c r="P54" s="143">
        <f>IFERROR(__xludf.DUMMYFUNCTION("""COMPUTED_VALUE"""),0.02634259259259259)</f>
        <v>0.02634259259</v>
      </c>
      <c r="Q54" s="151"/>
      <c r="R54" s="140"/>
      <c r="S54" s="140"/>
    </row>
    <row r="55" ht="33.75" customHeight="1">
      <c r="A55" s="140"/>
      <c r="B55" s="140"/>
      <c r="C55" s="147"/>
      <c r="D55" s="153"/>
      <c r="E55" s="147"/>
      <c r="F55" s="141"/>
      <c r="G55" s="141"/>
      <c r="H55" s="151"/>
      <c r="I55" s="140"/>
      <c r="J55" s="140"/>
      <c r="K55" s="140"/>
      <c r="L55" s="147">
        <f>IFERROR(__xludf.DUMMYFUNCTION("""COMPUTED_VALUE"""),2818142.0)</f>
        <v>2818142</v>
      </c>
      <c r="M55" s="148" t="str">
        <f>IFERROR(__xludf.DUMMYFUNCTION("""COMPUTED_VALUE"""),"Own It: The Power of Women at Work")</f>
        <v>Own It: The Power of Women at Work</v>
      </c>
      <c r="N55" s="147" t="str">
        <f>IFERROR(__xludf.DUMMYFUNCTION("""COMPUTED_VALUE"""),"General")</f>
        <v>General</v>
      </c>
      <c r="O55" s="141" t="str">
        <f>IFERROR(__xludf.DUMMYFUNCTION("""COMPUTED_VALUE"""),"Beginner")</f>
        <v>Beginner</v>
      </c>
      <c r="P55" s="143">
        <f>IFERROR(__xludf.DUMMYFUNCTION("""COMPUTED_VALUE"""),0.027199074074074073)</f>
        <v>0.02719907407</v>
      </c>
      <c r="Q55" s="151"/>
      <c r="R55" s="140"/>
      <c r="S55" s="140"/>
    </row>
    <row r="56" ht="33.75" customHeight="1">
      <c r="A56" s="140"/>
      <c r="B56" s="140"/>
      <c r="C56" s="147"/>
      <c r="D56" s="153"/>
      <c r="E56" s="147"/>
      <c r="F56" s="141"/>
      <c r="G56" s="141"/>
      <c r="H56" s="151"/>
      <c r="I56" s="140"/>
      <c r="J56" s="140"/>
      <c r="K56" s="140"/>
      <c r="L56" s="147">
        <f>IFERROR(__xludf.DUMMYFUNCTION("""COMPUTED_VALUE"""),2848272.0)</f>
        <v>2848272</v>
      </c>
      <c r="M56" s="148" t="str">
        <f>IFERROR(__xludf.DUMMYFUNCTION("""COMPUTED_VALUE"""),"Inclusive Mindset for Committed Allies")</f>
        <v>Inclusive Mindset for Committed Allies</v>
      </c>
      <c r="N56" s="147" t="str">
        <f>IFERROR(__xludf.DUMMYFUNCTION("""COMPUTED_VALUE"""),"General")</f>
        <v>General</v>
      </c>
      <c r="O56" s="141" t="str">
        <f>IFERROR(__xludf.DUMMYFUNCTION("""COMPUTED_VALUE"""),"Beginner")</f>
        <v>Beginner</v>
      </c>
      <c r="P56" s="143">
        <f>IFERROR(__xludf.DUMMYFUNCTION("""COMPUTED_VALUE"""),0.016435185185185185)</f>
        <v>0.01643518519</v>
      </c>
      <c r="Q56" s="151"/>
      <c r="R56" s="140"/>
      <c r="S56" s="140"/>
    </row>
    <row r="57" ht="33.75" customHeight="1">
      <c r="A57" s="140"/>
      <c r="B57" s="140"/>
      <c r="C57" s="147"/>
      <c r="D57" s="153"/>
      <c r="E57" s="147"/>
      <c r="F57" s="141"/>
      <c r="G57" s="141"/>
      <c r="H57" s="151"/>
      <c r="I57" s="140"/>
      <c r="J57" s="140"/>
      <c r="K57" s="140"/>
      <c r="L57" s="147">
        <f>IFERROR(__xludf.DUMMYFUNCTION("""COMPUTED_VALUE"""),2825698.0)</f>
        <v>2825698</v>
      </c>
      <c r="M57" s="148" t="str">
        <f>IFERROR(__xludf.DUMMYFUNCTION("""COMPUTED_VALUE"""),"Inclusive Mindset")</f>
        <v>Inclusive Mindset</v>
      </c>
      <c r="N57" s="147" t="str">
        <f>IFERROR(__xludf.DUMMYFUNCTION("""COMPUTED_VALUE"""),"General")</f>
        <v>General</v>
      </c>
      <c r="O57" s="141" t="str">
        <f>IFERROR(__xludf.DUMMYFUNCTION("""COMPUTED_VALUE"""),"Beginner")</f>
        <v>Beginner</v>
      </c>
      <c r="P57" s="143">
        <f>IFERROR(__xludf.DUMMYFUNCTION("""COMPUTED_VALUE"""),0.03822916666666667)</f>
        <v>0.03822916667</v>
      </c>
      <c r="Q57" s="151"/>
      <c r="R57" s="140"/>
      <c r="S57" s="140"/>
    </row>
    <row r="58" ht="33.75" customHeight="1">
      <c r="A58" s="140"/>
      <c r="B58" s="140"/>
      <c r="C58" s="147"/>
      <c r="D58" s="153"/>
      <c r="E58" s="147"/>
      <c r="F58" s="141"/>
      <c r="G58" s="141"/>
      <c r="H58" s="151"/>
      <c r="I58" s="140"/>
      <c r="J58" s="140"/>
      <c r="K58" s="140"/>
      <c r="L58" s="147">
        <f>IFERROR(__xludf.DUMMYFUNCTION("""COMPUTED_VALUE"""),2853001.0)</f>
        <v>2853001</v>
      </c>
      <c r="M58" s="148" t="str">
        <f>IFERROR(__xludf.DUMMYFUNCTION("""COMPUTED_VALUE"""),"Empathy in Business: Design for Success")</f>
        <v>Empathy in Business: Design for Success</v>
      </c>
      <c r="N58" s="147" t="str">
        <f>IFERROR(__xludf.DUMMYFUNCTION("""COMPUTED_VALUE"""),"General")</f>
        <v>General</v>
      </c>
      <c r="O58" s="141" t="str">
        <f>IFERROR(__xludf.DUMMYFUNCTION("""COMPUTED_VALUE"""),"Beginner")</f>
        <v>Beginner</v>
      </c>
      <c r="P58" s="143">
        <f>IFERROR(__xludf.DUMMYFUNCTION("""COMPUTED_VALUE"""),0.031469907407407405)</f>
        <v>0.03146990741</v>
      </c>
      <c r="Q58" s="151"/>
      <c r="R58" s="140"/>
      <c r="S58" s="140"/>
    </row>
    <row r="59" ht="33.75" customHeight="1">
      <c r="A59" s="140"/>
      <c r="B59" s="140"/>
      <c r="C59" s="147"/>
      <c r="D59" s="153"/>
      <c r="E59" s="147"/>
      <c r="F59" s="141"/>
      <c r="G59" s="141"/>
      <c r="H59" s="151"/>
      <c r="I59" s="140"/>
      <c r="J59" s="140"/>
      <c r="K59" s="140"/>
      <c r="L59" s="147">
        <f>IFERROR(__xludf.DUMMYFUNCTION("""COMPUTED_VALUE"""),2865036.0)</f>
        <v>2865036</v>
      </c>
      <c r="M59" s="148" t="str">
        <f>IFERROR(__xludf.DUMMYFUNCTION("""COMPUTED_VALUE"""),"The Power of Introverts")</f>
        <v>The Power of Introverts</v>
      </c>
      <c r="N59" s="147" t="str">
        <f>IFERROR(__xludf.DUMMYFUNCTION("""COMPUTED_VALUE"""),"General")</f>
        <v>General</v>
      </c>
      <c r="O59" s="141" t="str">
        <f>IFERROR(__xludf.DUMMYFUNCTION("""COMPUTED_VALUE"""),"Beginner")</f>
        <v>Beginner</v>
      </c>
      <c r="P59" s="143">
        <f>IFERROR(__xludf.DUMMYFUNCTION("""COMPUTED_VALUE"""),0.02568287037037037)</f>
        <v>0.02568287037</v>
      </c>
      <c r="Q59" s="151"/>
      <c r="R59" s="140"/>
      <c r="S59" s="140"/>
    </row>
    <row r="60" ht="33.75" customHeight="1">
      <c r="A60" s="140"/>
      <c r="B60" s="140"/>
      <c r="C60" s="147"/>
      <c r="D60" s="153"/>
      <c r="E60" s="147"/>
      <c r="F60" s="141"/>
      <c r="G60" s="141"/>
      <c r="H60" s="151"/>
      <c r="I60" s="140"/>
      <c r="J60" s="140"/>
      <c r="K60" s="140"/>
      <c r="L60" s="147">
        <f>IFERROR(__xludf.DUMMYFUNCTION("""COMPUTED_VALUE"""),2877077.0)</f>
        <v>2877077</v>
      </c>
      <c r="M60" s="148" t="str">
        <f>IFERROR(__xludf.DUMMYFUNCTION("""COMPUTED_VALUE"""),"The Science of Compassion: An Introduction")</f>
        <v>The Science of Compassion: An Introduction</v>
      </c>
      <c r="N60" s="147" t="str">
        <f>IFERROR(__xludf.DUMMYFUNCTION("""COMPUTED_VALUE"""),"General")</f>
        <v>General</v>
      </c>
      <c r="O60" s="141" t="str">
        <f>IFERROR(__xludf.DUMMYFUNCTION("""COMPUTED_VALUE"""),"Beginner")</f>
        <v>Beginner</v>
      </c>
      <c r="P60" s="143">
        <f>IFERROR(__xludf.DUMMYFUNCTION("""COMPUTED_VALUE"""),0.037766203703703705)</f>
        <v>0.0377662037</v>
      </c>
      <c r="Q60" s="151"/>
      <c r="R60" s="140"/>
      <c r="S60" s="140"/>
    </row>
    <row r="61" ht="33.75" customHeight="1">
      <c r="A61" s="140"/>
      <c r="B61" s="140"/>
      <c r="C61" s="147"/>
      <c r="D61" s="153"/>
      <c r="E61" s="147"/>
      <c r="F61" s="141"/>
      <c r="G61" s="141"/>
      <c r="H61" s="151"/>
      <c r="I61" s="140"/>
      <c r="J61" s="140"/>
      <c r="K61" s="140"/>
      <c r="L61" s="147">
        <f>IFERROR(__xludf.DUMMYFUNCTION("""COMPUTED_VALUE"""),2877078.0)</f>
        <v>2877078</v>
      </c>
      <c r="M61" s="148" t="str">
        <f>IFERROR(__xludf.DUMMYFUNCTION("""COMPUTED_VALUE"""),"The Upward Spiral of Compassion")</f>
        <v>The Upward Spiral of Compassion</v>
      </c>
      <c r="N61" s="147" t="str">
        <f>IFERROR(__xludf.DUMMYFUNCTION("""COMPUTED_VALUE"""),"General")</f>
        <v>General</v>
      </c>
      <c r="O61" s="141" t="str">
        <f>IFERROR(__xludf.DUMMYFUNCTION("""COMPUTED_VALUE"""),"Beginner")</f>
        <v>Beginner</v>
      </c>
      <c r="P61" s="143">
        <f>IFERROR(__xludf.DUMMYFUNCTION("""COMPUTED_VALUE"""),0.02619212962962963)</f>
        <v>0.02619212963</v>
      </c>
      <c r="Q61" s="151"/>
      <c r="R61" s="140"/>
      <c r="S61" s="140"/>
    </row>
    <row r="62" ht="33.75" customHeight="1">
      <c r="A62" s="140"/>
      <c r="B62" s="140"/>
      <c r="C62" s="147"/>
      <c r="D62" s="153"/>
      <c r="E62" s="147"/>
      <c r="F62" s="141"/>
      <c r="G62" s="141"/>
      <c r="H62" s="151"/>
      <c r="I62" s="140"/>
      <c r="J62" s="140"/>
      <c r="K62" s="140"/>
      <c r="L62" s="147">
        <f>IFERROR(__xludf.DUMMYFUNCTION("""COMPUTED_VALUE"""),2874328.0)</f>
        <v>2874328</v>
      </c>
      <c r="M62" s="148" t="str">
        <f>IFERROR(__xludf.DUMMYFUNCTION("""COMPUTED_VALUE"""),"Podcast Pioneer: Jad Abumrad and His Radiolab Journey")</f>
        <v>Podcast Pioneer: Jad Abumrad and His Radiolab Journey</v>
      </c>
      <c r="N62" s="147" t="str">
        <f>IFERROR(__xludf.DUMMYFUNCTION("""COMPUTED_VALUE"""),"General")</f>
        <v>General</v>
      </c>
      <c r="O62" s="141" t="str">
        <f>IFERROR(__xludf.DUMMYFUNCTION("""COMPUTED_VALUE"""),"Beginner")</f>
        <v>Beginner</v>
      </c>
      <c r="P62" s="143">
        <f>IFERROR(__xludf.DUMMYFUNCTION("""COMPUTED_VALUE"""),0.03260416666666666)</f>
        <v>0.03260416667</v>
      </c>
      <c r="Q62" s="151"/>
      <c r="R62" s="140"/>
      <c r="S62" s="140"/>
    </row>
    <row r="63" ht="33.75" customHeight="1">
      <c r="A63" s="140"/>
      <c r="B63" s="140"/>
      <c r="C63" s="147"/>
      <c r="D63" s="153"/>
      <c r="E63" s="147"/>
      <c r="F63" s="141"/>
      <c r="G63" s="141"/>
      <c r="H63" s="151"/>
      <c r="I63" s="140"/>
      <c r="J63" s="140"/>
      <c r="K63" s="140"/>
      <c r="L63" s="147">
        <f>IFERROR(__xludf.DUMMYFUNCTION("""COMPUTED_VALUE"""),2876327.0)</f>
        <v>2876327</v>
      </c>
      <c r="M63" s="148" t="str">
        <f>IFERROR(__xludf.DUMMYFUNCTION("""COMPUTED_VALUE"""),"CEO Mona Ataya Redefines the Working Mother")</f>
        <v>CEO Mona Ataya Redefines the Working Mother</v>
      </c>
      <c r="N63" s="147" t="str">
        <f>IFERROR(__xludf.DUMMYFUNCTION("""COMPUTED_VALUE"""),"General")</f>
        <v>General</v>
      </c>
      <c r="O63" s="141" t="str">
        <f>IFERROR(__xludf.DUMMYFUNCTION("""COMPUTED_VALUE"""),"Beginner")</f>
        <v>Beginner</v>
      </c>
      <c r="P63" s="143">
        <f>IFERROR(__xludf.DUMMYFUNCTION("""COMPUTED_VALUE"""),0.019467592592592592)</f>
        <v>0.01946759259</v>
      </c>
      <c r="Q63" s="151"/>
      <c r="R63" s="140"/>
      <c r="S63" s="140"/>
    </row>
    <row r="64" ht="33.75" customHeight="1">
      <c r="A64" s="140"/>
      <c r="B64" s="140"/>
      <c r="C64" s="147"/>
      <c r="D64" s="153"/>
      <c r="E64" s="147"/>
      <c r="F64" s="141"/>
      <c r="G64" s="141"/>
      <c r="H64" s="151"/>
      <c r="I64" s="140"/>
      <c r="J64" s="140"/>
      <c r="K64" s="140"/>
      <c r="L64" s="147">
        <f>IFERROR(__xludf.DUMMYFUNCTION("""COMPUTED_VALUE"""),758621.0)</f>
        <v>758621</v>
      </c>
      <c r="M64" s="148" t="str">
        <f>IFERROR(__xludf.DUMMYFUNCTION("""COMPUTED_VALUE"""),"Multinational Communication in the Workplace")</f>
        <v>Multinational Communication in the Workplace</v>
      </c>
      <c r="N64" s="147" t="str">
        <f>IFERROR(__xludf.DUMMYFUNCTION("""COMPUTED_VALUE"""),"General")</f>
        <v>General</v>
      </c>
      <c r="O64" s="141" t="str">
        <f>IFERROR(__xludf.DUMMYFUNCTION("""COMPUTED_VALUE"""),"Beginner")</f>
        <v>Beginner</v>
      </c>
      <c r="P64" s="143">
        <f>IFERROR(__xludf.DUMMYFUNCTION("""COMPUTED_VALUE"""),0.027916666666666666)</f>
        <v>0.02791666667</v>
      </c>
      <c r="Q64" s="151"/>
      <c r="R64" s="140"/>
      <c r="S64" s="140"/>
    </row>
    <row r="65" ht="33.75" customHeight="1">
      <c r="A65" s="140"/>
      <c r="B65" s="140"/>
      <c r="C65" s="147"/>
      <c r="D65" s="153"/>
      <c r="E65" s="147"/>
      <c r="F65" s="141"/>
      <c r="G65" s="141"/>
      <c r="H65" s="151"/>
      <c r="I65" s="140"/>
      <c r="J65" s="140"/>
      <c r="K65" s="140"/>
      <c r="L65" s="147">
        <f>IFERROR(__xludf.DUMMYFUNCTION("""COMPUTED_VALUE"""),2874250.0)</f>
        <v>2874250</v>
      </c>
      <c r="M65" s="148" t="str">
        <f>IFERROR(__xludf.DUMMYFUNCTION("""COMPUTED_VALUE"""),"Connecting Engagement and Inclusion to a Culture of Performance")</f>
        <v>Connecting Engagement and Inclusion to a Culture of Performance</v>
      </c>
      <c r="N65" s="147" t="str">
        <f>IFERROR(__xludf.DUMMYFUNCTION("""COMPUTED_VALUE"""),"General")</f>
        <v>General</v>
      </c>
      <c r="O65" s="141" t="str">
        <f>IFERROR(__xludf.DUMMYFUNCTION("""COMPUTED_VALUE"""),"Beginner")</f>
        <v>Beginner</v>
      </c>
      <c r="P65" s="143">
        <f>IFERROR(__xludf.DUMMYFUNCTION("""COMPUTED_VALUE"""),0.030532407407407407)</f>
        <v>0.03053240741</v>
      </c>
      <c r="Q65" s="151"/>
      <c r="R65" s="140"/>
      <c r="S65" s="140"/>
    </row>
    <row r="66" ht="33.75" customHeight="1">
      <c r="A66" s="140"/>
      <c r="B66" s="140"/>
      <c r="C66" s="147"/>
      <c r="D66" s="153"/>
      <c r="E66" s="147"/>
      <c r="F66" s="141"/>
      <c r="G66" s="141"/>
      <c r="H66" s="151"/>
      <c r="I66" s="140"/>
      <c r="J66" s="140"/>
      <c r="K66" s="140"/>
      <c r="L66" s="147">
        <f>IFERROR(__xludf.DUMMYFUNCTION("""COMPUTED_VALUE"""),2421702.0)</f>
        <v>2421702</v>
      </c>
      <c r="M66" s="148" t="str">
        <f>IFERROR(__xludf.DUMMYFUNCTION("""COMPUTED_VALUE"""),"Branding Your Authentic Self")</f>
        <v>Branding Your Authentic Self</v>
      </c>
      <c r="N66" s="147" t="str">
        <f>IFERROR(__xludf.DUMMYFUNCTION("""COMPUTED_VALUE"""),"General")</f>
        <v>General</v>
      </c>
      <c r="O66" s="141" t="str">
        <f>IFERROR(__xludf.DUMMYFUNCTION("""COMPUTED_VALUE"""),"Beginner")</f>
        <v>Beginner</v>
      </c>
      <c r="P66" s="143">
        <f>IFERROR(__xludf.DUMMYFUNCTION("""COMPUTED_VALUE"""),0.008854166666666666)</f>
        <v>0.008854166667</v>
      </c>
      <c r="Q66" s="151"/>
      <c r="R66" s="140"/>
      <c r="S66" s="140"/>
    </row>
    <row r="67" ht="33.75" customHeight="1">
      <c r="A67" s="140"/>
      <c r="B67" s="140"/>
      <c r="C67" s="147"/>
      <c r="D67" s="153"/>
      <c r="E67" s="147"/>
      <c r="F67" s="141"/>
      <c r="G67" s="141"/>
      <c r="H67" s="151"/>
      <c r="I67" s="140"/>
      <c r="J67" s="140"/>
      <c r="K67" s="140"/>
      <c r="L67" s="147">
        <f>IFERROR(__xludf.DUMMYFUNCTION("""COMPUTED_VALUE"""),2427504.0)</f>
        <v>2427504</v>
      </c>
      <c r="M67" s="148" t="str">
        <f>IFERROR(__xludf.DUMMYFUNCTION("""COMPUTED_VALUE"""),"The Value of Employee Resource Groups")</f>
        <v>The Value of Employee Resource Groups</v>
      </c>
      <c r="N67" s="147" t="str">
        <f>IFERROR(__xludf.DUMMYFUNCTION("""COMPUTED_VALUE"""),"General")</f>
        <v>General</v>
      </c>
      <c r="O67" s="141" t="str">
        <f>IFERROR(__xludf.DUMMYFUNCTION("""COMPUTED_VALUE"""),"Beginner")</f>
        <v>Beginner</v>
      </c>
      <c r="P67" s="143">
        <f>IFERROR(__xludf.DUMMYFUNCTION("""COMPUTED_VALUE"""),0.023391203703703702)</f>
        <v>0.0233912037</v>
      </c>
      <c r="Q67" s="151"/>
      <c r="R67" s="140"/>
      <c r="S67" s="140"/>
    </row>
    <row r="68" ht="33.75" customHeight="1">
      <c r="A68" s="140"/>
      <c r="B68" s="140"/>
      <c r="C68" s="147"/>
      <c r="D68" s="153"/>
      <c r="E68" s="147"/>
      <c r="F68" s="141"/>
      <c r="G68" s="141"/>
      <c r="H68" s="151"/>
      <c r="I68" s="140"/>
      <c r="J68" s="140"/>
      <c r="K68" s="140"/>
      <c r="L68" s="147">
        <f>IFERROR(__xludf.DUMMYFUNCTION("""COMPUTED_VALUE"""),2427506.0)</f>
        <v>2427506</v>
      </c>
      <c r="M68" s="148" t="str">
        <f>IFERROR(__xludf.DUMMYFUNCTION("""COMPUTED_VALUE"""),"Emotional Intelligence as an Inclusivity Booster")</f>
        <v>Emotional Intelligence as an Inclusivity Booster</v>
      </c>
      <c r="N68" s="147" t="str">
        <f>IFERROR(__xludf.DUMMYFUNCTION("""COMPUTED_VALUE"""),"General")</f>
        <v>General</v>
      </c>
      <c r="O68" s="141" t="str">
        <f>IFERROR(__xludf.DUMMYFUNCTION("""COMPUTED_VALUE"""),"Beginner")</f>
        <v>Beginner</v>
      </c>
      <c r="P68" s="143">
        <f>IFERROR(__xludf.DUMMYFUNCTION("""COMPUTED_VALUE"""),0.01615740740740741)</f>
        <v>0.01615740741</v>
      </c>
      <c r="Q68" s="151"/>
      <c r="R68" s="140"/>
      <c r="S68" s="140"/>
    </row>
    <row r="69" ht="33.75" customHeight="1">
      <c r="A69" s="140"/>
      <c r="B69" s="140"/>
      <c r="C69" s="147"/>
      <c r="D69" s="153"/>
      <c r="E69" s="147"/>
      <c r="F69" s="141"/>
      <c r="G69" s="141"/>
      <c r="H69" s="151"/>
      <c r="I69" s="140"/>
      <c r="J69" s="140"/>
      <c r="K69" s="140"/>
      <c r="L69" s="147">
        <f>IFERROR(__xludf.DUMMYFUNCTION("""COMPUTED_VALUE"""),2427505.0)</f>
        <v>2427505</v>
      </c>
      <c r="M69" s="148" t="str">
        <f>IFERROR(__xludf.DUMMYFUNCTION("""COMPUTED_VALUE"""),"Mentorship, Sponsorship, and Lifting Others as You Climb")</f>
        <v>Mentorship, Sponsorship, and Lifting Others as You Climb</v>
      </c>
      <c r="N69" s="147" t="str">
        <f>IFERROR(__xludf.DUMMYFUNCTION("""COMPUTED_VALUE"""),"General")</f>
        <v>General</v>
      </c>
      <c r="O69" s="141" t="str">
        <f>IFERROR(__xludf.DUMMYFUNCTION("""COMPUTED_VALUE"""),"Beginner")</f>
        <v>Beginner</v>
      </c>
      <c r="P69" s="143">
        <f>IFERROR(__xludf.DUMMYFUNCTION("""COMPUTED_VALUE"""),0.01505787037037037)</f>
        <v>0.01505787037</v>
      </c>
      <c r="Q69" s="151"/>
      <c r="R69" s="140"/>
      <c r="S69" s="140"/>
    </row>
    <row r="70" ht="33.75" customHeight="1">
      <c r="A70" s="140"/>
      <c r="B70" s="140"/>
      <c r="C70" s="147"/>
      <c r="D70" s="153"/>
      <c r="E70" s="147"/>
      <c r="F70" s="141"/>
      <c r="G70" s="141"/>
      <c r="H70" s="151"/>
      <c r="I70" s="140"/>
      <c r="J70" s="140"/>
      <c r="K70" s="140"/>
      <c r="L70" s="147">
        <f>IFERROR(__xludf.DUMMYFUNCTION("""COMPUTED_VALUE"""),3154786.0)</f>
        <v>3154786</v>
      </c>
      <c r="M70" s="148" t="str">
        <f>IFERROR(__xludf.DUMMYFUNCTION("""COMPUTED_VALUE"""),"Mindfulness, Diversity, and the Quest for Inclusion")</f>
        <v>Mindfulness, Diversity, and the Quest for Inclusion</v>
      </c>
      <c r="N70" s="147" t="str">
        <f>IFERROR(__xludf.DUMMYFUNCTION("""COMPUTED_VALUE"""),"General")</f>
        <v>General</v>
      </c>
      <c r="O70" s="141" t="str">
        <f>IFERROR(__xludf.DUMMYFUNCTION("""COMPUTED_VALUE"""),"Beginner")</f>
        <v>Beginner</v>
      </c>
      <c r="P70" s="143">
        <f>IFERROR(__xludf.DUMMYFUNCTION("""COMPUTED_VALUE"""),0.02710648148148148)</f>
        <v>0.02710648148</v>
      </c>
      <c r="Q70" s="151"/>
      <c r="R70" s="140"/>
      <c r="S70" s="140"/>
    </row>
    <row r="71" ht="33.75" customHeight="1">
      <c r="A71" s="140"/>
      <c r="B71" s="140"/>
      <c r="C71" s="147"/>
      <c r="D71" s="153"/>
      <c r="E71" s="147"/>
      <c r="F71" s="141"/>
      <c r="G71" s="141"/>
      <c r="H71" s="151"/>
      <c r="I71" s="140"/>
      <c r="J71" s="140"/>
      <c r="K71" s="140"/>
      <c r="L71" s="147">
        <f>IFERROR(__xludf.DUMMYFUNCTION("""COMPUTED_VALUE"""),3007730.0)</f>
        <v>3007730</v>
      </c>
      <c r="M71" s="148" t="str">
        <f>IFERROR(__xludf.DUMMYFUNCTION("""COMPUTED_VALUE"""),"Talking Boldly: When Inclusion Meets Politics at the Office")</f>
        <v>Talking Boldly: When Inclusion Meets Politics at the Office</v>
      </c>
      <c r="N71" s="147" t="str">
        <f>IFERROR(__xludf.DUMMYFUNCTION("""COMPUTED_VALUE"""),"General")</f>
        <v>General</v>
      </c>
      <c r="O71" s="141" t="str">
        <f>IFERROR(__xludf.DUMMYFUNCTION("""COMPUTED_VALUE"""),"Beginner")</f>
        <v>Beginner</v>
      </c>
      <c r="P71" s="143">
        <f>IFERROR(__xludf.DUMMYFUNCTION("""COMPUTED_VALUE"""),0.011331018518518518)</f>
        <v>0.01133101852</v>
      </c>
      <c r="Q71" s="151"/>
      <c r="R71" s="140"/>
      <c r="S71" s="140"/>
    </row>
    <row r="72" ht="33.75" customHeight="1">
      <c r="A72" s="140"/>
      <c r="B72" s="140"/>
      <c r="C72" s="147"/>
      <c r="D72" s="153"/>
      <c r="E72" s="147"/>
      <c r="F72" s="141"/>
      <c r="G72" s="141"/>
      <c r="H72" s="151"/>
      <c r="I72" s="140"/>
      <c r="J72" s="140"/>
      <c r="K72" s="140"/>
      <c r="L72" s="147">
        <f>IFERROR(__xludf.DUMMYFUNCTION("""COMPUTED_VALUE"""),3009566.0)</f>
        <v>3009566</v>
      </c>
      <c r="M72" s="148" t="str">
        <f>IFERROR(__xludf.DUMMYFUNCTION("""COMPUTED_VALUE"""),"Building Inclusive Work Communities")</f>
        <v>Building Inclusive Work Communities</v>
      </c>
      <c r="N72" s="147" t="str">
        <f>IFERROR(__xludf.DUMMYFUNCTION("""COMPUTED_VALUE"""),"General")</f>
        <v>General</v>
      </c>
      <c r="O72" s="141" t="str">
        <f>IFERROR(__xludf.DUMMYFUNCTION("""COMPUTED_VALUE"""),"Beginner")</f>
        <v>Beginner</v>
      </c>
      <c r="P72" s="143">
        <f>IFERROR(__xludf.DUMMYFUNCTION("""COMPUTED_VALUE"""),0.03563657407407408)</f>
        <v>0.03563657407</v>
      </c>
      <c r="Q72" s="151"/>
      <c r="R72" s="140"/>
      <c r="S72" s="140"/>
    </row>
    <row r="73" ht="33.75" customHeight="1">
      <c r="A73" s="140"/>
      <c r="B73" s="140"/>
      <c r="C73" s="147"/>
      <c r="D73" s="153"/>
      <c r="E73" s="147"/>
      <c r="F73" s="141"/>
      <c r="G73" s="141"/>
      <c r="H73" s="151"/>
      <c r="I73" s="140"/>
      <c r="J73" s="140"/>
      <c r="K73" s="140"/>
      <c r="L73" s="147">
        <f>IFERROR(__xludf.DUMMYFUNCTION("""COMPUTED_VALUE"""),3010525.0)</f>
        <v>3010525</v>
      </c>
      <c r="M73" s="148" t="str">
        <f>IFERROR(__xludf.DUMMYFUNCTION("""COMPUTED_VALUE"""),"Developing Your Authentic Self to Ignite Change")</f>
        <v>Developing Your Authentic Self to Ignite Change</v>
      </c>
      <c r="N73" s="147" t="str">
        <f>IFERROR(__xludf.DUMMYFUNCTION("""COMPUTED_VALUE"""),"General")</f>
        <v>General</v>
      </c>
      <c r="O73" s="141" t="str">
        <f>IFERROR(__xludf.DUMMYFUNCTION("""COMPUTED_VALUE"""),"Beginner")</f>
        <v>Beginner</v>
      </c>
      <c r="P73" s="143">
        <f>IFERROR(__xludf.DUMMYFUNCTION("""COMPUTED_VALUE"""),0.03876157407407407)</f>
        <v>0.03876157407</v>
      </c>
      <c r="Q73" s="151"/>
      <c r="R73" s="140"/>
      <c r="S73" s="140"/>
    </row>
    <row r="74" ht="33.75" customHeight="1">
      <c r="A74" s="140"/>
      <c r="B74" s="140"/>
      <c r="C74" s="147"/>
      <c r="D74" s="153"/>
      <c r="E74" s="147"/>
      <c r="F74" s="141"/>
      <c r="G74" s="141"/>
      <c r="H74" s="151"/>
      <c r="I74" s="140"/>
      <c r="J74" s="140"/>
      <c r="K74" s="140"/>
      <c r="L74" s="147">
        <f>IFERROR(__xludf.DUMMYFUNCTION("""COMPUTED_VALUE"""),3011516.0)</f>
        <v>3011516</v>
      </c>
      <c r="M74" s="148" t="str">
        <f>IFERROR(__xludf.DUMMYFUNCTION("""COMPUTED_VALUE"""),"How to Succeed as a Latina in a Global Work Environment")</f>
        <v>How to Succeed as a Latina in a Global Work Environment</v>
      </c>
      <c r="N74" s="147" t="str">
        <f>IFERROR(__xludf.DUMMYFUNCTION("""COMPUTED_VALUE"""),"General")</f>
        <v>General</v>
      </c>
      <c r="O74" s="141" t="str">
        <f>IFERROR(__xludf.DUMMYFUNCTION("""COMPUTED_VALUE"""),"Beginner")</f>
        <v>Beginner</v>
      </c>
      <c r="P74" s="143">
        <f>IFERROR(__xludf.DUMMYFUNCTION("""COMPUTED_VALUE"""),0.037453703703703704)</f>
        <v>0.0374537037</v>
      </c>
      <c r="Q74" s="151"/>
      <c r="R74" s="140"/>
      <c r="S74" s="140"/>
    </row>
    <row r="75">
      <c r="A75" s="140"/>
      <c r="B75" s="140"/>
      <c r="C75" s="147"/>
      <c r="D75" s="153"/>
      <c r="E75" s="147"/>
      <c r="F75" s="141"/>
      <c r="G75" s="141"/>
      <c r="H75" s="151"/>
      <c r="I75" s="140"/>
      <c r="J75" s="140"/>
      <c r="K75" s="140"/>
      <c r="L75" s="147">
        <f>IFERROR(__xludf.DUMMYFUNCTION("""COMPUTED_VALUE"""),3013248.0)</f>
        <v>3013248</v>
      </c>
      <c r="M75" s="148" t="str">
        <f>IFERROR(__xludf.DUMMYFUNCTION("""COMPUTED_VALUE"""),"Fair and Effective Interviewing for Diversity and Inclusion")</f>
        <v>Fair and Effective Interviewing for Diversity and Inclusion</v>
      </c>
      <c r="N75" s="147" t="str">
        <f>IFERROR(__xludf.DUMMYFUNCTION("""COMPUTED_VALUE"""),"General")</f>
        <v>General</v>
      </c>
      <c r="O75" s="141" t="str">
        <f>IFERROR(__xludf.DUMMYFUNCTION("""COMPUTED_VALUE"""),"Beginner")</f>
        <v>Beginner</v>
      </c>
      <c r="P75" s="143">
        <f>IFERROR(__xludf.DUMMYFUNCTION("""COMPUTED_VALUE"""),0.026261574074074073)</f>
        <v>0.02626157407</v>
      </c>
      <c r="Q75" s="151"/>
      <c r="R75" s="140"/>
      <c r="S75" s="140"/>
    </row>
    <row r="76">
      <c r="A76" s="140"/>
      <c r="B76" s="140"/>
      <c r="C76" s="147"/>
      <c r="D76" s="153"/>
      <c r="E76" s="147"/>
      <c r="F76" s="141"/>
      <c r="G76" s="141"/>
      <c r="H76" s="151"/>
      <c r="I76" s="140"/>
      <c r="J76" s="140"/>
      <c r="K76" s="140"/>
      <c r="L76" s="147">
        <f>IFERROR(__xludf.DUMMYFUNCTION("""COMPUTED_VALUE"""),3003657.0)</f>
        <v>3003657</v>
      </c>
      <c r="M76" s="148" t="str">
        <f>IFERROR(__xludf.DUMMYFUNCTION("""COMPUTED_VALUE"""),"Diversity and Inclusion in Marketing: Inclusive Language for Marketers")</f>
        <v>Diversity and Inclusion in Marketing: Inclusive Language for Marketers</v>
      </c>
      <c r="N76" s="147" t="str">
        <f>IFERROR(__xludf.DUMMYFUNCTION("""COMPUTED_VALUE"""),"General")</f>
        <v>General</v>
      </c>
      <c r="O76" s="141" t="str">
        <f>IFERROR(__xludf.DUMMYFUNCTION("""COMPUTED_VALUE"""),"Beginner")</f>
        <v>Beginner</v>
      </c>
      <c r="P76" s="143">
        <f>IFERROR(__xludf.DUMMYFUNCTION("""COMPUTED_VALUE"""),0.020196759259259258)</f>
        <v>0.02019675926</v>
      </c>
      <c r="Q76" s="151"/>
      <c r="R76" s="140"/>
      <c r="S76" s="140"/>
    </row>
    <row r="77">
      <c r="A77" s="140"/>
      <c r="B77" s="140"/>
      <c r="C77" s="147"/>
      <c r="D77" s="153"/>
      <c r="E77" s="147"/>
      <c r="F77" s="141"/>
      <c r="G77" s="141"/>
      <c r="H77" s="151"/>
      <c r="I77" s="140"/>
      <c r="J77" s="140"/>
      <c r="K77" s="140"/>
      <c r="L77" s="147">
        <f>IFERROR(__xludf.DUMMYFUNCTION("""COMPUTED_VALUE"""),3013036.0)</f>
        <v>3013036</v>
      </c>
      <c r="M77" s="148" t="str">
        <f>IFERROR(__xludf.DUMMYFUNCTION("""COMPUTED_VALUE"""),"Creating Safe Spaces for Tough Conversations at Work")</f>
        <v>Creating Safe Spaces for Tough Conversations at Work</v>
      </c>
      <c r="N77" s="147" t="str">
        <f>IFERROR(__xludf.DUMMYFUNCTION("""COMPUTED_VALUE"""),"General")</f>
        <v>General</v>
      </c>
      <c r="O77" s="141" t="str">
        <f>IFERROR(__xludf.DUMMYFUNCTION("""COMPUTED_VALUE"""),"Beginner")</f>
        <v>Beginner</v>
      </c>
      <c r="P77" s="143">
        <f>IFERROR(__xludf.DUMMYFUNCTION("""COMPUTED_VALUE"""),0.03803240740740741)</f>
        <v>0.03803240741</v>
      </c>
      <c r="Q77" s="151"/>
      <c r="R77" s="140"/>
      <c r="S77" s="140"/>
    </row>
    <row r="78">
      <c r="A78" s="140"/>
      <c r="B78" s="140"/>
      <c r="C78" s="147"/>
      <c r="D78" s="153"/>
      <c r="E78" s="147"/>
      <c r="F78" s="141"/>
      <c r="G78" s="141"/>
      <c r="H78" s="151"/>
      <c r="I78" s="140"/>
      <c r="J78" s="140"/>
      <c r="K78" s="140"/>
      <c r="L78" s="147">
        <f>IFERROR(__xludf.DUMMYFUNCTION("""COMPUTED_VALUE"""),3008555.0)</f>
        <v>3008555</v>
      </c>
      <c r="M78" s="148" t="str">
        <f>IFERROR(__xludf.DUMMYFUNCTION("""COMPUTED_VALUE"""),"Strategies to Foster Inclusive Language at Work")</f>
        <v>Strategies to Foster Inclusive Language at Work</v>
      </c>
      <c r="N78" s="147" t="str">
        <f>IFERROR(__xludf.DUMMYFUNCTION("""COMPUTED_VALUE"""),"General")</f>
        <v>General</v>
      </c>
      <c r="O78" s="141" t="str">
        <f>IFERROR(__xludf.DUMMYFUNCTION("""COMPUTED_VALUE"""),"Beginner")</f>
        <v>Beginner</v>
      </c>
      <c r="P78" s="143">
        <f>IFERROR(__xludf.DUMMYFUNCTION("""COMPUTED_VALUE"""),0.04612268518518518)</f>
        <v>0.04612268519</v>
      </c>
      <c r="Q78" s="151"/>
      <c r="R78" s="140"/>
      <c r="S78" s="140"/>
    </row>
    <row r="79">
      <c r="A79" s="140"/>
      <c r="B79" s="140"/>
      <c r="C79" s="147"/>
      <c r="D79" s="153"/>
      <c r="E79" s="147"/>
      <c r="F79" s="141"/>
      <c r="G79" s="141"/>
      <c r="H79" s="151"/>
      <c r="I79" s="140"/>
      <c r="J79" s="140"/>
      <c r="K79" s="140"/>
      <c r="L79" s="147">
        <f>IFERROR(__xludf.DUMMYFUNCTION("""COMPUTED_VALUE"""),2835086.0)</f>
        <v>2835086</v>
      </c>
      <c r="M79" s="148" t="str">
        <f>IFERROR(__xludf.DUMMYFUNCTION("""COMPUTED_VALUE"""),"Gender in Negotiation")</f>
        <v>Gender in Negotiation</v>
      </c>
      <c r="N79" s="147" t="str">
        <f>IFERROR(__xludf.DUMMYFUNCTION("""COMPUTED_VALUE"""),"General")</f>
        <v>General</v>
      </c>
      <c r="O79" s="141" t="str">
        <f>IFERROR(__xludf.DUMMYFUNCTION("""COMPUTED_VALUE"""),"Beginner + Intermediate")</f>
        <v>Beginner + Intermediate</v>
      </c>
      <c r="P79" s="143">
        <f>IFERROR(__xludf.DUMMYFUNCTION("""COMPUTED_VALUE"""),0.02789351851851852)</f>
        <v>0.02789351852</v>
      </c>
      <c r="Q79" s="151"/>
      <c r="R79" s="140"/>
      <c r="S79" s="140"/>
    </row>
    <row r="80">
      <c r="A80" s="140"/>
      <c r="B80" s="140"/>
      <c r="C80" s="147"/>
      <c r="D80" s="153"/>
      <c r="E80" s="147"/>
      <c r="F80" s="141"/>
      <c r="G80" s="141"/>
      <c r="H80" s="151"/>
      <c r="I80" s="140"/>
      <c r="J80" s="140"/>
      <c r="K80" s="140"/>
      <c r="L80" s="147">
        <f>IFERROR(__xludf.DUMMYFUNCTION("""COMPUTED_VALUE"""),625918.0)</f>
        <v>625918</v>
      </c>
      <c r="M80" s="148" t="str">
        <f>IFERROR(__xludf.DUMMYFUNCTION("""COMPUTED_VALUE"""),"Proven Success Strategies for Women at Work")</f>
        <v>Proven Success Strategies for Women at Work</v>
      </c>
      <c r="N80" s="147" t="str">
        <f>IFERROR(__xludf.DUMMYFUNCTION("""COMPUTED_VALUE"""),"General")</f>
        <v>General</v>
      </c>
      <c r="O80" s="141" t="str">
        <f>IFERROR(__xludf.DUMMYFUNCTION("""COMPUTED_VALUE"""),"Beginner + Intermediate")</f>
        <v>Beginner + Intermediate</v>
      </c>
      <c r="P80" s="143">
        <f>IFERROR(__xludf.DUMMYFUNCTION("""COMPUTED_VALUE"""),0.06300925925925926)</f>
        <v>0.06300925926</v>
      </c>
      <c r="Q80" s="151"/>
      <c r="R80" s="140"/>
      <c r="S80" s="140"/>
    </row>
    <row r="81">
      <c r="A81" s="154"/>
      <c r="B81" s="154"/>
      <c r="C81" s="147"/>
      <c r="D81" s="153"/>
      <c r="E81" s="147"/>
      <c r="F81" s="141"/>
      <c r="G81" s="141"/>
      <c r="H81" s="151"/>
      <c r="I81" s="154"/>
      <c r="J81" s="154"/>
      <c r="K81" s="154"/>
      <c r="L81" s="147">
        <f>IFERROR(__xludf.DUMMYFUNCTION("""COMPUTED_VALUE"""),2824254.0)</f>
        <v>2824254</v>
      </c>
      <c r="M81" s="148" t="str">
        <f>IFERROR(__xludf.DUMMYFUNCTION("""COMPUTED_VALUE"""),"How to Be a Good Mentee and Mentor")</f>
        <v>How to Be a Good Mentee and Mentor</v>
      </c>
      <c r="N81" s="147" t="str">
        <f>IFERROR(__xludf.DUMMYFUNCTION("""COMPUTED_VALUE"""),"General")</f>
        <v>General</v>
      </c>
      <c r="O81" s="141" t="str">
        <f>IFERROR(__xludf.DUMMYFUNCTION("""COMPUTED_VALUE"""),"Beginner + Intermediate")</f>
        <v>Beginner + Intermediate</v>
      </c>
      <c r="P81" s="143">
        <f>IFERROR(__xludf.DUMMYFUNCTION("""COMPUTED_VALUE"""),0.018900462962962963)</f>
        <v>0.01890046296</v>
      </c>
      <c r="Q81" s="151"/>
      <c r="R81" s="154"/>
      <c r="S81" s="154"/>
    </row>
    <row r="82">
      <c r="A82" s="154"/>
      <c r="B82" s="154"/>
      <c r="C82" s="147"/>
      <c r="D82" s="153"/>
      <c r="E82" s="147"/>
      <c r="F82" s="141"/>
      <c r="G82" s="141"/>
      <c r="H82" s="151"/>
      <c r="I82" s="154"/>
      <c r="J82" s="154"/>
      <c r="K82" s="154"/>
      <c r="L82" s="147">
        <f>IFERROR(__xludf.DUMMYFUNCTION("""COMPUTED_VALUE"""),2835068.0)</f>
        <v>2835068</v>
      </c>
      <c r="M82" s="148" t="str">
        <f>IFERROR(__xludf.DUMMYFUNCTION("""COMPUTED_VALUE"""),"Preparing to Lead: Developing Mental Toughness in Yourself")</f>
        <v>Preparing to Lead: Developing Mental Toughness in Yourself</v>
      </c>
      <c r="N82" s="147" t="str">
        <f>IFERROR(__xludf.DUMMYFUNCTION("""COMPUTED_VALUE"""),"General")</f>
        <v>General</v>
      </c>
      <c r="O82" s="141" t="str">
        <f>IFERROR(__xludf.DUMMYFUNCTION("""COMPUTED_VALUE"""),"Beginner + Intermediate")</f>
        <v>Beginner + Intermediate</v>
      </c>
      <c r="P82" s="143">
        <f>IFERROR(__xludf.DUMMYFUNCTION("""COMPUTED_VALUE"""),0.022569444444444444)</f>
        <v>0.02256944444</v>
      </c>
      <c r="Q82" s="151"/>
      <c r="R82" s="154"/>
      <c r="S82" s="154"/>
    </row>
    <row r="83">
      <c r="A83" s="154"/>
      <c r="B83" s="154"/>
      <c r="C83" s="147"/>
      <c r="D83" s="153"/>
      <c r="E83" s="147"/>
      <c r="F83" s="141"/>
      <c r="G83" s="141"/>
      <c r="H83" s="151"/>
      <c r="I83" s="154"/>
      <c r="J83" s="154"/>
      <c r="K83" s="154"/>
      <c r="L83" s="147">
        <f>IFERROR(__xludf.DUMMYFUNCTION("""COMPUTED_VALUE"""),664802.0)</f>
        <v>664802</v>
      </c>
      <c r="M83" s="148" t="str">
        <f>IFERROR(__xludf.DUMMYFUNCTION("""COMPUTED_VALUE"""),"Communicating about Culturally Sensitive Issues")</f>
        <v>Communicating about Culturally Sensitive Issues</v>
      </c>
      <c r="N83" s="147" t="str">
        <f>IFERROR(__xludf.DUMMYFUNCTION("""COMPUTED_VALUE"""),"General")</f>
        <v>General</v>
      </c>
      <c r="O83" s="141" t="str">
        <f>IFERROR(__xludf.DUMMYFUNCTION("""COMPUTED_VALUE"""),"Beginner + Intermediate")</f>
        <v>Beginner + Intermediate</v>
      </c>
      <c r="P83" s="143">
        <f>IFERROR(__xludf.DUMMYFUNCTION("""COMPUTED_VALUE"""),0.03832175925925926)</f>
        <v>0.03832175926</v>
      </c>
      <c r="Q83" s="151"/>
      <c r="R83" s="154"/>
      <c r="S83" s="154"/>
    </row>
    <row r="84">
      <c r="A84" s="154"/>
      <c r="B84" s="154"/>
      <c r="C84" s="147"/>
      <c r="D84" s="153"/>
      <c r="E84" s="147"/>
      <c r="F84" s="141"/>
      <c r="G84" s="141"/>
      <c r="H84" s="151"/>
      <c r="I84" s="154"/>
      <c r="J84" s="154"/>
      <c r="K84" s="154"/>
      <c r="L84" s="147">
        <f>IFERROR(__xludf.DUMMYFUNCTION("""COMPUTED_VALUE"""),2833000.0)</f>
        <v>2833000</v>
      </c>
      <c r="M84" s="148" t="str">
        <f>IFERROR(__xludf.DUMMYFUNCTION("""COMPUTED_VALUE"""),"Understanding and Supporting LGBTQ+ Employees")</f>
        <v>Understanding and Supporting LGBTQ+ Employees</v>
      </c>
      <c r="N84" s="147" t="str">
        <f>IFERROR(__xludf.DUMMYFUNCTION("""COMPUTED_VALUE"""),"General")</f>
        <v>General</v>
      </c>
      <c r="O84" s="141" t="str">
        <f>IFERROR(__xludf.DUMMYFUNCTION("""COMPUTED_VALUE"""),"General")</f>
        <v>General</v>
      </c>
      <c r="P84" s="143">
        <f>IFERROR(__xludf.DUMMYFUNCTION("""COMPUTED_VALUE"""),0.024756944444444446)</f>
        <v>0.02475694444</v>
      </c>
      <c r="Q84" s="151"/>
      <c r="R84" s="154"/>
      <c r="S84" s="154"/>
    </row>
    <row r="85">
      <c r="A85" s="154"/>
      <c r="B85" s="154"/>
      <c r="C85" s="147"/>
      <c r="D85" s="153"/>
      <c r="E85" s="147"/>
      <c r="F85" s="141"/>
      <c r="G85" s="141"/>
      <c r="H85" s="151"/>
      <c r="I85" s="154"/>
      <c r="J85" s="154"/>
      <c r="K85" s="154"/>
      <c r="L85" s="147">
        <f>IFERROR(__xludf.DUMMYFUNCTION("""COMPUTED_VALUE"""),3019047.0)</f>
        <v>3019047</v>
      </c>
      <c r="M85" s="148" t="str">
        <f>IFERROR(__xludf.DUMMYFUNCTION("""COMPUTED_VALUE"""),"Getting a Seat at the Table and Making It Count")</f>
        <v>Getting a Seat at the Table and Making It Count</v>
      </c>
      <c r="N85" s="147" t="str">
        <f>IFERROR(__xludf.DUMMYFUNCTION("""COMPUTED_VALUE"""),"General")</f>
        <v>General</v>
      </c>
      <c r="O85" s="141" t="str">
        <f>IFERROR(__xludf.DUMMYFUNCTION("""COMPUTED_VALUE"""),"General")</f>
        <v>General</v>
      </c>
      <c r="P85" s="143">
        <f>IFERROR(__xludf.DUMMYFUNCTION("""COMPUTED_VALUE"""),0.04513888888888889)</f>
        <v>0.04513888889</v>
      </c>
      <c r="Q85" s="151"/>
      <c r="R85" s="154"/>
      <c r="S85" s="154"/>
    </row>
    <row r="86">
      <c r="A86" s="154"/>
      <c r="B86" s="154"/>
      <c r="C86" s="147"/>
      <c r="D86" s="153"/>
      <c r="E86" s="147"/>
      <c r="F86" s="141"/>
      <c r="G86" s="141"/>
      <c r="H86" s="151"/>
      <c r="I86" s="154"/>
      <c r="J86" s="154"/>
      <c r="K86" s="154"/>
      <c r="L86" s="147">
        <f>IFERROR(__xludf.DUMMYFUNCTION("""COMPUTED_VALUE"""),2892592.0)</f>
        <v>2892592</v>
      </c>
      <c r="M86" s="148" t="str">
        <f>IFERROR(__xludf.DUMMYFUNCTION("""COMPUTED_VALUE"""),"Understanding and Supporting Asian Employees")</f>
        <v>Understanding and Supporting Asian Employees</v>
      </c>
      <c r="N86" s="147" t="str">
        <f>IFERROR(__xludf.DUMMYFUNCTION("""COMPUTED_VALUE"""),"General")</f>
        <v>General</v>
      </c>
      <c r="O86" s="141" t="str">
        <f>IFERROR(__xludf.DUMMYFUNCTION("""COMPUTED_VALUE"""),"General")</f>
        <v>General</v>
      </c>
      <c r="P86" s="143">
        <f>IFERROR(__xludf.DUMMYFUNCTION("""COMPUTED_VALUE"""),0.0347337962962963)</f>
        <v>0.0347337963</v>
      </c>
      <c r="Q86" s="151"/>
      <c r="R86" s="154"/>
      <c r="S86" s="154"/>
    </row>
    <row r="87">
      <c r="A87" s="154"/>
      <c r="B87" s="154"/>
      <c r="C87" s="147"/>
      <c r="D87" s="153"/>
      <c r="E87" s="147"/>
      <c r="F87" s="141"/>
      <c r="G87" s="141"/>
      <c r="H87" s="151"/>
      <c r="I87" s="154"/>
      <c r="J87" s="154"/>
      <c r="K87" s="154"/>
      <c r="L87" s="147">
        <f>IFERROR(__xludf.DUMMYFUNCTION("""COMPUTED_VALUE"""),746261.0)</f>
        <v>746261</v>
      </c>
      <c r="M87" s="148" t="str">
        <f>IFERROR(__xludf.DUMMYFUNCTION("""COMPUTED_VALUE"""),"Communicating Across Cultures")</f>
        <v>Communicating Across Cultures</v>
      </c>
      <c r="N87" s="147" t="str">
        <f>IFERROR(__xludf.DUMMYFUNCTION("""COMPUTED_VALUE"""),"General")</f>
        <v>General</v>
      </c>
      <c r="O87" s="141" t="str">
        <f>IFERROR(__xludf.DUMMYFUNCTION("""COMPUTED_VALUE"""),"General")</f>
        <v>General</v>
      </c>
      <c r="P87" s="143">
        <f>IFERROR(__xludf.DUMMYFUNCTION("""COMPUTED_VALUE"""),0.02277777777777778)</f>
        <v>0.02277777778</v>
      </c>
      <c r="Q87" s="151"/>
      <c r="R87" s="154"/>
      <c r="S87" s="154"/>
    </row>
    <row r="88">
      <c r="A88" s="154"/>
      <c r="B88" s="154"/>
      <c r="C88" s="147"/>
      <c r="D88" s="153"/>
      <c r="E88" s="147"/>
      <c r="F88" s="141"/>
      <c r="G88" s="141"/>
      <c r="H88" s="151"/>
      <c r="I88" s="154"/>
      <c r="J88" s="154"/>
      <c r="K88" s="154"/>
      <c r="L88" s="147">
        <f>IFERROR(__xludf.DUMMYFUNCTION("""COMPUTED_VALUE"""),704110.0)</f>
        <v>704110</v>
      </c>
      <c r="M88" s="148" t="str">
        <f>IFERROR(__xludf.DUMMYFUNCTION("""COMPUTED_VALUE"""),"Confronting Bias: Thriving Across Our Differences")</f>
        <v>Confronting Bias: Thriving Across Our Differences</v>
      </c>
      <c r="N88" s="147" t="str">
        <f>IFERROR(__xludf.DUMMYFUNCTION("""COMPUTED_VALUE"""),"General")</f>
        <v>General</v>
      </c>
      <c r="O88" s="141" t="str">
        <f>IFERROR(__xludf.DUMMYFUNCTION("""COMPUTED_VALUE"""),"General")</f>
        <v>General</v>
      </c>
      <c r="P88" s="143">
        <f>IFERROR(__xludf.DUMMYFUNCTION("""COMPUTED_VALUE"""),0.027800925925925927)</f>
        <v>0.02780092593</v>
      </c>
      <c r="Q88" s="151"/>
      <c r="R88" s="154"/>
      <c r="S88" s="154"/>
    </row>
    <row r="89">
      <c r="A89" s="154"/>
      <c r="B89" s="154"/>
      <c r="C89" s="147"/>
      <c r="D89" s="153"/>
      <c r="E89" s="147"/>
      <c r="F89" s="141"/>
      <c r="G89" s="141"/>
      <c r="H89" s="151"/>
      <c r="I89" s="154"/>
      <c r="J89" s="154"/>
      <c r="K89" s="154"/>
      <c r="L89" s="147">
        <f>IFERROR(__xludf.DUMMYFUNCTION("""COMPUTED_VALUE"""),642484.0)</f>
        <v>642484</v>
      </c>
      <c r="M89" s="148" t="str">
        <f>IFERROR(__xludf.DUMMYFUNCTION("""COMPUTED_VALUE"""),"Creating Change: Diversity and Inclusion in the Tech Industry")</f>
        <v>Creating Change: Diversity and Inclusion in the Tech Industry</v>
      </c>
      <c r="N89" s="147" t="str">
        <f>IFERROR(__xludf.DUMMYFUNCTION("""COMPUTED_VALUE"""),"General")</f>
        <v>General</v>
      </c>
      <c r="O89" s="141" t="str">
        <f>IFERROR(__xludf.DUMMYFUNCTION("""COMPUTED_VALUE"""),"General")</f>
        <v>General</v>
      </c>
      <c r="P89" s="143">
        <f>IFERROR(__xludf.DUMMYFUNCTION("""COMPUTED_VALUE"""),0.03225694444444444)</f>
        <v>0.03225694444</v>
      </c>
      <c r="Q89" s="151"/>
      <c r="R89" s="154"/>
      <c r="S89" s="154"/>
    </row>
    <row r="90">
      <c r="A90" s="154"/>
      <c r="B90" s="154"/>
      <c r="C90" s="155"/>
      <c r="D90" s="156"/>
      <c r="E90" s="155"/>
      <c r="F90" s="155"/>
      <c r="G90" s="155"/>
      <c r="H90" s="157"/>
      <c r="I90" s="154"/>
      <c r="J90" s="154"/>
      <c r="K90" s="154"/>
      <c r="L90" s="147">
        <f>IFERROR(__xludf.DUMMYFUNCTION("""COMPUTED_VALUE"""),373788.0)</f>
        <v>373788</v>
      </c>
      <c r="M90" s="148" t="str">
        <f>IFERROR(__xludf.DUMMYFUNCTION("""COMPUTED_VALUE"""),"Developing Cross-Cultural Intelligence")</f>
        <v>Developing Cross-Cultural Intelligence</v>
      </c>
      <c r="N90" s="147" t="str">
        <f>IFERROR(__xludf.DUMMYFUNCTION("""COMPUTED_VALUE"""),"General")</f>
        <v>General</v>
      </c>
      <c r="O90" s="147" t="str">
        <f>IFERROR(__xludf.DUMMYFUNCTION("""COMPUTED_VALUE"""),"General")</f>
        <v>General</v>
      </c>
      <c r="P90" s="164">
        <f>IFERROR(__xludf.DUMMYFUNCTION("""COMPUTED_VALUE"""),0.04650462962962963)</f>
        <v>0.04650462963</v>
      </c>
      <c r="Q90" s="151"/>
      <c r="R90" s="154"/>
      <c r="S90" s="154"/>
    </row>
    <row r="91">
      <c r="A91" s="154"/>
      <c r="B91" s="154"/>
      <c r="C91" s="155"/>
      <c r="D91" s="156"/>
      <c r="E91" s="155"/>
      <c r="F91" s="155"/>
      <c r="G91" s="155"/>
      <c r="H91" s="157"/>
      <c r="I91" s="154"/>
      <c r="J91" s="154"/>
      <c r="K91" s="154"/>
      <c r="L91" s="147">
        <f>IFERROR(__xludf.DUMMYFUNCTION("""COMPUTED_VALUE"""),756276.0)</f>
        <v>756276</v>
      </c>
      <c r="M91" s="148" t="str">
        <f>IFERROR(__xludf.DUMMYFUNCTION("""COMPUTED_VALUE"""),"Social Interactions for Multinational Teams")</f>
        <v>Social Interactions for Multinational Teams</v>
      </c>
      <c r="N91" s="147" t="str">
        <f>IFERROR(__xludf.DUMMYFUNCTION("""COMPUTED_VALUE"""),"General")</f>
        <v>General</v>
      </c>
      <c r="O91" s="147" t="str">
        <f>IFERROR(__xludf.DUMMYFUNCTION("""COMPUTED_VALUE"""),"General")</f>
        <v>General</v>
      </c>
      <c r="P91" s="164">
        <f>IFERROR(__xludf.DUMMYFUNCTION("""COMPUTED_VALUE"""),0.03549768518518519)</f>
        <v>0.03549768519</v>
      </c>
      <c r="Q91" s="151"/>
      <c r="R91" s="154"/>
      <c r="S91" s="154"/>
    </row>
    <row r="92">
      <c r="A92" s="154"/>
      <c r="B92" s="154"/>
      <c r="C92" s="155"/>
      <c r="D92" s="156"/>
      <c r="E92" s="155"/>
      <c r="F92" s="155"/>
      <c r="G92" s="155"/>
      <c r="H92" s="157"/>
      <c r="I92" s="154"/>
      <c r="J92" s="154"/>
      <c r="K92" s="154"/>
      <c r="L92" s="147">
        <f>IFERROR(__xludf.DUMMYFUNCTION("""COMPUTED_VALUE"""),779733.0)</f>
        <v>779733</v>
      </c>
      <c r="M92" s="148" t="str">
        <f>IFERROR(__xludf.DUMMYFUNCTION("""COMPUTED_VALUE"""),"Cultivating Cultural Competence and Inclusion")</f>
        <v>Cultivating Cultural Competence and Inclusion</v>
      </c>
      <c r="N92" s="147" t="str">
        <f>IFERROR(__xludf.DUMMYFUNCTION("""COMPUTED_VALUE"""),"General")</f>
        <v>General</v>
      </c>
      <c r="O92" s="147" t="str">
        <f>IFERROR(__xludf.DUMMYFUNCTION("""COMPUTED_VALUE"""),"General")</f>
        <v>General</v>
      </c>
      <c r="P92" s="164">
        <f>IFERROR(__xludf.DUMMYFUNCTION("""COMPUTED_VALUE"""),0.03305555555555555)</f>
        <v>0.03305555556</v>
      </c>
      <c r="Q92" s="151"/>
      <c r="R92" s="154"/>
      <c r="S92" s="154"/>
    </row>
    <row r="93">
      <c r="A93" s="154"/>
      <c r="B93" s="154"/>
      <c r="C93" s="155"/>
      <c r="D93" s="156"/>
      <c r="E93" s="155"/>
      <c r="F93" s="155"/>
      <c r="G93" s="155"/>
      <c r="H93" s="157"/>
      <c r="I93" s="154"/>
      <c r="J93" s="154"/>
      <c r="K93" s="154"/>
      <c r="L93" s="147">
        <f>IFERROR(__xludf.DUMMYFUNCTION("""COMPUTED_VALUE"""),5040392.0)</f>
        <v>5040392</v>
      </c>
      <c r="M93" s="148" t="str">
        <f>IFERROR(__xludf.DUMMYFUNCTION("""COMPUTED_VALUE"""),"Fighting Gender Bias at Work")</f>
        <v>Fighting Gender Bias at Work</v>
      </c>
      <c r="N93" s="147" t="str">
        <f>IFERROR(__xludf.DUMMYFUNCTION("""COMPUTED_VALUE"""),"General")</f>
        <v>General</v>
      </c>
      <c r="O93" s="147" t="str">
        <f>IFERROR(__xludf.DUMMYFUNCTION("""COMPUTED_VALUE"""),"General")</f>
        <v>General</v>
      </c>
      <c r="P93" s="164">
        <f>IFERROR(__xludf.DUMMYFUNCTION("""COMPUTED_VALUE"""),0.00982638888888889)</f>
        <v>0.009826388889</v>
      </c>
      <c r="Q93" s="151"/>
      <c r="R93" s="154"/>
      <c r="S93" s="154"/>
    </row>
    <row r="94">
      <c r="A94" s="154"/>
      <c r="B94" s="154"/>
      <c r="C94" s="155"/>
      <c r="D94" s="156"/>
      <c r="E94" s="155"/>
      <c r="F94" s="155"/>
      <c r="G94" s="155"/>
      <c r="H94" s="157"/>
      <c r="I94" s="154"/>
      <c r="J94" s="154"/>
      <c r="K94" s="154"/>
      <c r="L94" s="147">
        <f>IFERROR(__xludf.DUMMYFUNCTION("""COMPUTED_VALUE"""),716048.0)</f>
        <v>716048</v>
      </c>
      <c r="M94" s="148" t="str">
        <f>IFERROR(__xludf.DUMMYFUNCTION("""COMPUTED_VALUE"""),"Preventing Harassment in the Workplace")</f>
        <v>Preventing Harassment in the Workplace</v>
      </c>
      <c r="N94" s="147" t="str">
        <f>IFERROR(__xludf.DUMMYFUNCTION("""COMPUTED_VALUE"""),"General")</f>
        <v>General</v>
      </c>
      <c r="O94" s="147" t="str">
        <f>IFERROR(__xludf.DUMMYFUNCTION("""COMPUTED_VALUE"""),"General")</f>
        <v>General</v>
      </c>
      <c r="P94" s="164">
        <f>IFERROR(__xludf.DUMMYFUNCTION("""COMPUTED_VALUE"""),0.039247685185185184)</f>
        <v>0.03924768519</v>
      </c>
      <c r="Q94" s="151"/>
      <c r="R94" s="154"/>
      <c r="S94" s="154"/>
    </row>
    <row r="95">
      <c r="A95" s="154"/>
      <c r="B95" s="154"/>
      <c r="C95" s="155"/>
      <c r="D95" s="156"/>
      <c r="E95" s="155"/>
      <c r="F95" s="155"/>
      <c r="G95" s="155"/>
      <c r="H95" s="157"/>
      <c r="I95" s="154"/>
      <c r="J95" s="154"/>
      <c r="K95" s="154"/>
      <c r="L95" s="147">
        <f>IFERROR(__xludf.DUMMYFUNCTION("""COMPUTED_VALUE"""),5025098.0)</f>
        <v>5025098</v>
      </c>
      <c r="M95" s="148" t="str">
        <f>IFERROR(__xludf.DUMMYFUNCTION("""COMPUTED_VALUE"""),"Skills for Inclusive Conversations")</f>
        <v>Skills for Inclusive Conversations</v>
      </c>
      <c r="N95" s="147" t="str">
        <f>IFERROR(__xludf.DUMMYFUNCTION("""COMPUTED_VALUE"""),"General")</f>
        <v>General</v>
      </c>
      <c r="O95" s="147" t="str">
        <f>IFERROR(__xludf.DUMMYFUNCTION("""COMPUTED_VALUE"""),"General")</f>
        <v>General</v>
      </c>
      <c r="P95" s="164">
        <f>IFERROR(__xludf.DUMMYFUNCTION("""COMPUTED_VALUE"""),0.036944444444444446)</f>
        <v>0.03694444444</v>
      </c>
      <c r="Q95" s="151"/>
      <c r="R95" s="154"/>
      <c r="S95" s="154"/>
    </row>
    <row r="96">
      <c r="A96" s="154"/>
      <c r="B96" s="154"/>
      <c r="C96" s="155"/>
      <c r="D96" s="156"/>
      <c r="E96" s="155"/>
      <c r="F96" s="155"/>
      <c r="G96" s="155"/>
      <c r="H96" s="157"/>
      <c r="I96" s="154"/>
      <c r="J96" s="154"/>
      <c r="K96" s="154"/>
      <c r="L96" s="147">
        <f>IFERROR(__xludf.DUMMYFUNCTION("""COMPUTED_VALUE"""),2800408.0)</f>
        <v>2800408</v>
      </c>
      <c r="M96" s="148" t="str">
        <f>IFERROR(__xludf.DUMMYFUNCTION("""COMPUTED_VALUE"""),"Leadership in Tech")</f>
        <v>Leadership in Tech</v>
      </c>
      <c r="N96" s="147" t="str">
        <f>IFERROR(__xludf.DUMMYFUNCTION("""COMPUTED_VALUE"""),"General")</f>
        <v>General</v>
      </c>
      <c r="O96" s="147" t="str">
        <f>IFERROR(__xludf.DUMMYFUNCTION("""COMPUTED_VALUE"""),"General")</f>
        <v>General</v>
      </c>
      <c r="P96" s="164">
        <f>IFERROR(__xludf.DUMMYFUNCTION("""COMPUTED_VALUE"""),0.04358796296296296)</f>
        <v>0.04358796296</v>
      </c>
      <c r="Q96" s="151"/>
      <c r="R96" s="154"/>
      <c r="S96" s="154"/>
    </row>
    <row r="97">
      <c r="A97" s="154"/>
      <c r="B97" s="154"/>
      <c r="C97" s="155"/>
      <c r="D97" s="156"/>
      <c r="E97" s="155"/>
      <c r="F97" s="155"/>
      <c r="G97" s="155"/>
      <c r="H97" s="157"/>
      <c r="I97" s="154"/>
      <c r="J97" s="154"/>
      <c r="K97" s="154"/>
      <c r="L97" s="147">
        <f>IFERROR(__xludf.DUMMYFUNCTION("""COMPUTED_VALUE"""),2839076.0)</f>
        <v>2839076</v>
      </c>
      <c r="M97" s="148" t="str">
        <f>IFERROR(__xludf.DUMMYFUNCTION("""COMPUTED_VALUE"""),"Awakening Compassion at Work (Blinkist Summary)")</f>
        <v>Awakening Compassion at Work (Blinkist Summary)</v>
      </c>
      <c r="N97" s="147" t="str">
        <f>IFERROR(__xludf.DUMMYFUNCTION("""COMPUTED_VALUE"""),"General")</f>
        <v>General</v>
      </c>
      <c r="O97" s="147" t="str">
        <f>IFERROR(__xludf.DUMMYFUNCTION("""COMPUTED_VALUE"""),"General")</f>
        <v>General</v>
      </c>
      <c r="P97" s="164">
        <f>IFERROR(__xludf.DUMMYFUNCTION("""COMPUTED_VALUE"""),0.01568287037037037)</f>
        <v>0.01568287037</v>
      </c>
      <c r="Q97" s="151"/>
      <c r="R97" s="154"/>
      <c r="S97" s="154"/>
    </row>
    <row r="98">
      <c r="A98" s="154"/>
      <c r="B98" s="154"/>
      <c r="C98" s="155"/>
      <c r="D98" s="156"/>
      <c r="E98" s="155"/>
      <c r="F98" s="155"/>
      <c r="G98" s="155"/>
      <c r="H98" s="157"/>
      <c r="I98" s="154"/>
      <c r="J98" s="154"/>
      <c r="K98" s="154"/>
      <c r="L98" s="147">
        <f>IFERROR(__xludf.DUMMYFUNCTION("""COMPUTED_VALUE"""),2864030.0)</f>
        <v>2864030</v>
      </c>
      <c r="M98" s="148" t="str">
        <f>IFERROR(__xludf.DUMMYFUNCTION("""COMPUTED_VALUE"""),"Driving Change and Anti-Racism")</f>
        <v>Driving Change and Anti-Racism</v>
      </c>
      <c r="N98" s="147" t="str">
        <f>IFERROR(__xludf.DUMMYFUNCTION("""COMPUTED_VALUE"""),"General")</f>
        <v>General</v>
      </c>
      <c r="O98" s="147" t="str">
        <f>IFERROR(__xludf.DUMMYFUNCTION("""COMPUTED_VALUE"""),"General")</f>
        <v>General</v>
      </c>
      <c r="P98" s="164">
        <f>IFERROR(__xludf.DUMMYFUNCTION("""COMPUTED_VALUE"""),0.011307870370370371)</f>
        <v>0.01130787037</v>
      </c>
      <c r="Q98" s="151"/>
      <c r="R98" s="154"/>
      <c r="S98" s="154"/>
    </row>
    <row r="99">
      <c r="A99" s="154"/>
      <c r="B99" s="154"/>
      <c r="C99" s="155"/>
      <c r="D99" s="156"/>
      <c r="E99" s="155"/>
      <c r="F99" s="155"/>
      <c r="G99" s="155"/>
      <c r="H99" s="157"/>
      <c r="I99" s="154"/>
      <c r="J99" s="154"/>
      <c r="K99" s="154"/>
      <c r="L99" s="147">
        <f>IFERROR(__xludf.DUMMYFUNCTION("""COMPUTED_VALUE"""),2848321.0)</f>
        <v>2848321</v>
      </c>
      <c r="M99" s="148" t="str">
        <f>IFERROR(__xludf.DUMMYFUNCTION("""COMPUTED_VALUE"""),"Difficult Conversations: Talking About Race at Work")</f>
        <v>Difficult Conversations: Talking About Race at Work</v>
      </c>
      <c r="N99" s="147" t="str">
        <f>IFERROR(__xludf.DUMMYFUNCTION("""COMPUTED_VALUE"""),"General")</f>
        <v>General</v>
      </c>
      <c r="O99" s="147" t="str">
        <f>IFERROR(__xludf.DUMMYFUNCTION("""COMPUTED_VALUE"""),"General")</f>
        <v>General</v>
      </c>
      <c r="P99" s="164">
        <f>IFERROR(__xludf.DUMMYFUNCTION("""COMPUTED_VALUE"""),0.011284722222222222)</f>
        <v>0.01128472222</v>
      </c>
      <c r="Q99" s="151"/>
      <c r="R99" s="154"/>
      <c r="S99" s="154"/>
    </row>
    <row r="100">
      <c r="A100" s="154"/>
      <c r="B100" s="154"/>
      <c r="C100" s="155"/>
      <c r="D100" s="156"/>
      <c r="E100" s="155"/>
      <c r="F100" s="155"/>
      <c r="G100" s="155"/>
      <c r="H100" s="157"/>
      <c r="I100" s="154"/>
      <c r="J100" s="154"/>
      <c r="K100" s="154"/>
      <c r="L100" s="147">
        <f>IFERROR(__xludf.DUMMYFUNCTION("""COMPUTED_VALUE"""),2866005.0)</f>
        <v>2866005</v>
      </c>
      <c r="M100" s="148" t="str">
        <f>IFERROR(__xludf.DUMMYFUNCTION("""COMPUTED_VALUE"""),"Just Ask: Kwame Christian on Discussing Race")</f>
        <v>Just Ask: Kwame Christian on Discussing Race</v>
      </c>
      <c r="N100" s="147" t="str">
        <f>IFERROR(__xludf.DUMMYFUNCTION("""COMPUTED_VALUE"""),"General")</f>
        <v>General</v>
      </c>
      <c r="O100" s="147" t="str">
        <f>IFERROR(__xludf.DUMMYFUNCTION("""COMPUTED_VALUE"""),"General")</f>
        <v>General</v>
      </c>
      <c r="P100" s="164">
        <f>IFERROR(__xludf.DUMMYFUNCTION("""COMPUTED_VALUE"""),0.015717592592592592)</f>
        <v>0.01571759259</v>
      </c>
      <c r="Q100" s="151"/>
      <c r="R100" s="154"/>
      <c r="S100" s="154"/>
    </row>
    <row r="101">
      <c r="A101" s="154"/>
      <c r="B101" s="154"/>
      <c r="C101" s="155"/>
      <c r="D101" s="156"/>
      <c r="E101" s="155"/>
      <c r="F101" s="155"/>
      <c r="G101" s="155"/>
      <c r="H101" s="157"/>
      <c r="I101" s="154"/>
      <c r="J101" s="154"/>
      <c r="K101" s="154"/>
      <c r="L101" s="147">
        <f>IFERROR(__xludf.DUMMYFUNCTION("""COMPUTED_VALUE"""),2864299.0)</f>
        <v>2864299</v>
      </c>
      <c r="M101" s="148" t="str">
        <f>IFERROR(__xludf.DUMMYFUNCTION("""COMPUTED_VALUE"""),"Color and Cultural Connections")</f>
        <v>Color and Cultural Connections</v>
      </c>
      <c r="N101" s="147" t="str">
        <f>IFERROR(__xludf.DUMMYFUNCTION("""COMPUTED_VALUE"""),"General")</f>
        <v>General</v>
      </c>
      <c r="O101" s="147" t="str">
        <f>IFERROR(__xludf.DUMMYFUNCTION("""COMPUTED_VALUE"""),"General")</f>
        <v>General</v>
      </c>
      <c r="P101" s="164">
        <f>IFERROR(__xludf.DUMMYFUNCTION("""COMPUTED_VALUE"""),0.024907407407407406)</f>
        <v>0.02490740741</v>
      </c>
      <c r="Q101" s="151"/>
      <c r="R101" s="154"/>
      <c r="S101" s="154"/>
    </row>
    <row r="102">
      <c r="A102" s="154"/>
      <c r="B102" s="154"/>
      <c r="C102" s="155"/>
      <c r="D102" s="156"/>
      <c r="E102" s="155"/>
      <c r="F102" s="155"/>
      <c r="G102" s="155"/>
      <c r="H102" s="157"/>
      <c r="I102" s="154"/>
      <c r="J102" s="154"/>
      <c r="K102" s="154"/>
      <c r="L102" s="147">
        <f>IFERROR(__xludf.DUMMYFUNCTION("""COMPUTED_VALUE"""),5002835.0)</f>
        <v>5002835</v>
      </c>
      <c r="M102" s="148" t="str">
        <f>IFERROR(__xludf.DUMMYFUNCTION("""COMPUTED_VALUE"""),"Becoming a Male Ally at Work")</f>
        <v>Becoming a Male Ally at Work</v>
      </c>
      <c r="N102" s="147" t="str">
        <f>IFERROR(__xludf.DUMMYFUNCTION("""COMPUTED_VALUE"""),"General")</f>
        <v>General</v>
      </c>
      <c r="O102" s="147" t="str">
        <f>IFERROR(__xludf.DUMMYFUNCTION("""COMPUTED_VALUE"""),"General")</f>
        <v>General</v>
      </c>
      <c r="P102" s="164">
        <f>IFERROR(__xludf.DUMMYFUNCTION("""COMPUTED_VALUE"""),0.028912037037037038)</f>
        <v>0.02891203704</v>
      </c>
      <c r="Q102" s="151"/>
      <c r="R102" s="154"/>
      <c r="S102" s="154"/>
    </row>
    <row r="103">
      <c r="A103" s="154"/>
      <c r="B103" s="154"/>
      <c r="C103" s="155"/>
      <c r="D103" s="156"/>
      <c r="E103" s="155"/>
      <c r="F103" s="155"/>
      <c r="G103" s="155"/>
      <c r="H103" s="157"/>
      <c r="I103" s="154"/>
      <c r="J103" s="154"/>
      <c r="K103" s="154"/>
      <c r="L103" s="147">
        <f>IFERROR(__xludf.DUMMYFUNCTION("""COMPUTED_VALUE"""),758616.0)</f>
        <v>758616</v>
      </c>
      <c r="M103" s="148" t="str">
        <f>IFERROR(__xludf.DUMMYFUNCTION("""COMPUTED_VALUE"""),"Shane Snow on Dream Teams")</f>
        <v>Shane Snow on Dream Teams</v>
      </c>
      <c r="N103" s="147" t="str">
        <f>IFERROR(__xludf.DUMMYFUNCTION("""COMPUTED_VALUE"""),"General")</f>
        <v>General</v>
      </c>
      <c r="O103" s="147" t="str">
        <f>IFERROR(__xludf.DUMMYFUNCTION("""COMPUTED_VALUE"""),"General")</f>
        <v>General</v>
      </c>
      <c r="P103" s="164">
        <f>IFERROR(__xludf.DUMMYFUNCTION("""COMPUTED_VALUE"""),0.015173611111111112)</f>
        <v>0.01517361111</v>
      </c>
      <c r="Q103" s="151"/>
      <c r="R103" s="154"/>
      <c r="S103" s="154"/>
    </row>
    <row r="104">
      <c r="A104" s="154"/>
      <c r="B104" s="154"/>
      <c r="C104" s="155"/>
      <c r="D104" s="156"/>
      <c r="E104" s="155"/>
      <c r="F104" s="155"/>
      <c r="G104" s="155"/>
      <c r="H104" s="157"/>
      <c r="I104" s="154"/>
      <c r="J104" s="154"/>
      <c r="K104" s="154"/>
      <c r="L104" s="147">
        <f>IFERROR(__xludf.DUMMYFUNCTION("""COMPUTED_VALUE"""),2825696.0)</f>
        <v>2825696</v>
      </c>
      <c r="M104" s="148" t="str">
        <f>IFERROR(__xludf.DUMMYFUNCTION("""COMPUTED_VALUE"""),"Speaking Up At Work")</f>
        <v>Speaking Up At Work</v>
      </c>
      <c r="N104" s="147" t="str">
        <f>IFERROR(__xludf.DUMMYFUNCTION("""COMPUTED_VALUE"""),"General")</f>
        <v>General</v>
      </c>
      <c r="O104" s="147" t="str">
        <f>IFERROR(__xludf.DUMMYFUNCTION("""COMPUTED_VALUE"""),"General")</f>
        <v>General</v>
      </c>
      <c r="P104" s="164">
        <f>IFERROR(__xludf.DUMMYFUNCTION("""COMPUTED_VALUE"""),0.015555555555555555)</f>
        <v>0.01555555556</v>
      </c>
      <c r="Q104" s="151"/>
      <c r="R104" s="154"/>
      <c r="S104" s="154"/>
    </row>
    <row r="105">
      <c r="A105" s="154"/>
      <c r="B105" s="154"/>
      <c r="C105" s="155"/>
      <c r="D105" s="156"/>
      <c r="E105" s="155"/>
      <c r="F105" s="155"/>
      <c r="G105" s="155"/>
      <c r="H105" s="157"/>
      <c r="I105" s="154"/>
      <c r="J105" s="154"/>
      <c r="K105" s="154"/>
      <c r="L105" s="147">
        <f>IFERROR(__xludf.DUMMYFUNCTION("""COMPUTED_VALUE"""),5028612.0)</f>
        <v>5028612</v>
      </c>
      <c r="M105" s="148" t="str">
        <f>IFERROR(__xludf.DUMMYFUNCTION("""COMPUTED_VALUE"""),"Bystander Training: From Bystander to Upstander")</f>
        <v>Bystander Training: From Bystander to Upstander</v>
      </c>
      <c r="N105" s="147" t="str">
        <f>IFERROR(__xludf.DUMMYFUNCTION("""COMPUTED_VALUE"""),"General")</f>
        <v>General</v>
      </c>
      <c r="O105" s="147" t="str">
        <f>IFERROR(__xludf.DUMMYFUNCTION("""COMPUTED_VALUE"""),"General")</f>
        <v>General</v>
      </c>
      <c r="P105" s="164">
        <f>IFERROR(__xludf.DUMMYFUNCTION("""COMPUTED_VALUE"""),0.02847222222222222)</f>
        <v>0.02847222222</v>
      </c>
      <c r="Q105" s="151"/>
      <c r="R105" s="154"/>
      <c r="S105" s="154"/>
    </row>
    <row r="106">
      <c r="A106" s="154"/>
      <c r="B106" s="154"/>
      <c r="C106" s="155"/>
      <c r="D106" s="156"/>
      <c r="E106" s="155"/>
      <c r="F106" s="155"/>
      <c r="G106" s="155"/>
      <c r="H106" s="157"/>
      <c r="I106" s="154"/>
      <c r="J106" s="154"/>
      <c r="K106" s="154"/>
      <c r="L106" s="147">
        <f>IFERROR(__xludf.DUMMYFUNCTION("""COMPUTED_VALUE"""),2883104.0)</f>
        <v>2883104</v>
      </c>
      <c r="M106" s="148" t="str">
        <f>IFERROR(__xludf.DUMMYFUNCTION("""COMPUTED_VALUE"""),"How to Be More Inclusive")</f>
        <v>How to Be More Inclusive</v>
      </c>
      <c r="N106" s="147" t="str">
        <f>IFERROR(__xludf.DUMMYFUNCTION("""COMPUTED_VALUE"""),"General")</f>
        <v>General</v>
      </c>
      <c r="O106" s="147" t="str">
        <f>IFERROR(__xludf.DUMMYFUNCTION("""COMPUTED_VALUE"""),"General")</f>
        <v>General</v>
      </c>
      <c r="P106" s="164">
        <f>IFERROR(__xludf.DUMMYFUNCTION("""COMPUTED_VALUE"""),0.050243055555555555)</f>
        <v>0.05024305556</v>
      </c>
      <c r="Q106" s="151"/>
      <c r="R106" s="154"/>
      <c r="S106" s="154"/>
    </row>
    <row r="107">
      <c r="A107" s="154"/>
      <c r="B107" s="154"/>
      <c r="C107" s="155"/>
      <c r="D107" s="156"/>
      <c r="E107" s="155"/>
      <c r="F107" s="155"/>
      <c r="G107" s="155"/>
      <c r="H107" s="157"/>
      <c r="I107" s="154"/>
      <c r="J107" s="154"/>
      <c r="K107" s="154"/>
      <c r="L107" s="147">
        <f>IFERROR(__xludf.DUMMYFUNCTION("""COMPUTED_VALUE"""),2428262.0)</f>
        <v>2428262</v>
      </c>
      <c r="M107" s="148" t="str">
        <f>IFERROR(__xludf.DUMMYFUNCTION("""COMPUTED_VALUE"""),"Digital Accessibility for the Modern Workplace (with Audio Descriptions)")</f>
        <v>Digital Accessibility for the Modern Workplace (with Audio Descriptions)</v>
      </c>
      <c r="N107" s="147" t="str">
        <f>IFERROR(__xludf.DUMMYFUNCTION("""COMPUTED_VALUE"""),"General")</f>
        <v>General</v>
      </c>
      <c r="O107" s="147" t="str">
        <f>IFERROR(__xludf.DUMMYFUNCTION("""COMPUTED_VALUE"""),"General")</f>
        <v>General</v>
      </c>
      <c r="P107" s="164">
        <f>IFERROR(__xludf.DUMMYFUNCTION("""COMPUTED_VALUE"""),0.04398148148148148)</f>
        <v>0.04398148148</v>
      </c>
      <c r="Q107" s="151"/>
      <c r="R107" s="154"/>
      <c r="S107" s="154"/>
    </row>
    <row r="108">
      <c r="A108" s="154"/>
      <c r="B108" s="154"/>
      <c r="C108" s="155"/>
      <c r="D108" s="156"/>
      <c r="E108" s="155"/>
      <c r="F108" s="155"/>
      <c r="G108" s="155"/>
      <c r="H108" s="157"/>
      <c r="I108" s="154"/>
      <c r="J108" s="154"/>
      <c r="K108" s="154"/>
      <c r="L108" s="147">
        <f>IFERROR(__xludf.DUMMYFUNCTION("""COMPUTED_VALUE"""),2873211.0)</f>
        <v>2873211</v>
      </c>
      <c r="M108" s="148" t="str">
        <f>IFERROR(__xludf.DUMMYFUNCTION("""COMPUTED_VALUE"""),"Succeeding as an LGBT Professional")</f>
        <v>Succeeding as an LGBT Professional</v>
      </c>
      <c r="N108" s="147" t="str">
        <f>IFERROR(__xludf.DUMMYFUNCTION("""COMPUTED_VALUE"""),"General")</f>
        <v>General</v>
      </c>
      <c r="O108" s="147" t="str">
        <f>IFERROR(__xludf.DUMMYFUNCTION("""COMPUTED_VALUE"""),"General")</f>
        <v>General</v>
      </c>
      <c r="P108" s="164">
        <f>IFERROR(__xludf.DUMMYFUNCTION("""COMPUTED_VALUE"""),0.014027777777777778)</f>
        <v>0.01402777778</v>
      </c>
      <c r="Q108" s="151"/>
      <c r="R108" s="154"/>
      <c r="S108" s="154"/>
    </row>
    <row r="109">
      <c r="A109" s="154"/>
      <c r="B109" s="154"/>
      <c r="C109" s="155"/>
      <c r="D109" s="156"/>
      <c r="E109" s="155"/>
      <c r="F109" s="155"/>
      <c r="G109" s="155"/>
      <c r="H109" s="157"/>
      <c r="I109" s="154"/>
      <c r="J109" s="154"/>
      <c r="K109" s="154"/>
      <c r="L109" s="147">
        <f>IFERROR(__xludf.DUMMYFUNCTION("""COMPUTED_VALUE"""),2886191.0)</f>
        <v>2886191</v>
      </c>
      <c r="M109" s="148" t="str">
        <f>IFERROR(__xludf.DUMMYFUNCTION("""COMPUTED_VALUE"""),"Discussing Racism with Dr. Christina Greer")</f>
        <v>Discussing Racism with Dr. Christina Greer</v>
      </c>
      <c r="N109" s="147" t="str">
        <f>IFERROR(__xludf.DUMMYFUNCTION("""COMPUTED_VALUE"""),"General")</f>
        <v>General</v>
      </c>
      <c r="O109" s="147" t="str">
        <f>IFERROR(__xludf.DUMMYFUNCTION("""COMPUTED_VALUE"""),"General")</f>
        <v>General</v>
      </c>
      <c r="P109" s="164">
        <f>IFERROR(__xludf.DUMMYFUNCTION("""COMPUTED_VALUE"""),0.022800925925925926)</f>
        <v>0.02280092593</v>
      </c>
      <c r="Q109" s="151"/>
      <c r="R109" s="154"/>
      <c r="S109" s="154"/>
    </row>
    <row r="110">
      <c r="A110" s="154"/>
      <c r="B110" s="154"/>
      <c r="C110" s="155"/>
      <c r="D110" s="156"/>
      <c r="E110" s="155"/>
      <c r="F110" s="155"/>
      <c r="G110" s="155"/>
      <c r="H110" s="157"/>
      <c r="I110" s="154"/>
      <c r="J110" s="154"/>
      <c r="K110" s="154"/>
      <c r="L110" s="147">
        <f>IFERROR(__xludf.DUMMYFUNCTION("""COMPUTED_VALUE"""),2833038.0)</f>
        <v>2833038</v>
      </c>
      <c r="M110" s="148" t="str">
        <f>IFERROR(__xludf.DUMMYFUNCTION("""COMPUTED_VALUE"""),"Becoming an Ally to All")</f>
        <v>Becoming an Ally to All</v>
      </c>
      <c r="N110" s="147" t="str">
        <f>IFERROR(__xludf.DUMMYFUNCTION("""COMPUTED_VALUE"""),"General")</f>
        <v>General</v>
      </c>
      <c r="O110" s="147" t="str">
        <f>IFERROR(__xludf.DUMMYFUNCTION("""COMPUTED_VALUE"""),"General")</f>
        <v>General</v>
      </c>
      <c r="P110" s="164">
        <f>IFERROR(__xludf.DUMMYFUNCTION("""COMPUTED_VALUE"""),0.02122685185185185)</f>
        <v>0.02122685185</v>
      </c>
      <c r="Q110" s="151"/>
      <c r="R110" s="154"/>
      <c r="S110" s="154"/>
    </row>
    <row r="111">
      <c r="A111" s="154"/>
      <c r="B111" s="154"/>
      <c r="C111" s="155"/>
      <c r="D111" s="156"/>
      <c r="E111" s="155"/>
      <c r="F111" s="155"/>
      <c r="G111" s="155"/>
      <c r="H111" s="157"/>
      <c r="I111" s="154"/>
      <c r="J111" s="154"/>
      <c r="K111" s="154"/>
      <c r="L111" s="147">
        <f>IFERROR(__xludf.DUMMYFUNCTION("""COMPUTED_VALUE"""),2877284.0)</f>
        <v>2877284</v>
      </c>
      <c r="M111" s="148" t="str">
        <f>IFERROR(__xludf.DUMMYFUNCTION("""COMPUTED_VALUE"""),"Architectural Design: The WE Way for Workplace Inclusivity")</f>
        <v>Architectural Design: The WE Way for Workplace Inclusivity</v>
      </c>
      <c r="N111" s="147" t="str">
        <f>IFERROR(__xludf.DUMMYFUNCTION("""COMPUTED_VALUE"""),"General")</f>
        <v>General</v>
      </c>
      <c r="O111" s="147" t="str">
        <f>IFERROR(__xludf.DUMMYFUNCTION("""COMPUTED_VALUE"""),"General")</f>
        <v>General</v>
      </c>
      <c r="P111" s="164">
        <f>IFERROR(__xludf.DUMMYFUNCTION("""COMPUTED_VALUE"""),0.04332175925925926)</f>
        <v>0.04332175926</v>
      </c>
      <c r="Q111" s="151"/>
      <c r="R111" s="154"/>
      <c r="S111" s="154"/>
    </row>
    <row r="112">
      <c r="A112" s="154"/>
      <c r="B112" s="154"/>
      <c r="C112" s="155"/>
      <c r="D112" s="156"/>
      <c r="E112" s="155"/>
      <c r="F112" s="155"/>
      <c r="G112" s="155"/>
      <c r="H112" s="157"/>
      <c r="I112" s="154"/>
      <c r="J112" s="154"/>
      <c r="K112" s="154"/>
      <c r="L112" s="147">
        <f>IFERROR(__xludf.DUMMYFUNCTION("""COMPUTED_VALUE"""),2835067.0)</f>
        <v>2835067</v>
      </c>
      <c r="M112" s="148" t="str">
        <f>IFERROR(__xludf.DUMMYFUNCTION("""COMPUTED_VALUE"""),"Uncovering Your Authentic Self at Work")</f>
        <v>Uncovering Your Authentic Self at Work</v>
      </c>
      <c r="N112" s="147" t="str">
        <f>IFERROR(__xludf.DUMMYFUNCTION("""COMPUTED_VALUE"""),"General")</f>
        <v>General</v>
      </c>
      <c r="O112" s="147" t="str">
        <f>IFERROR(__xludf.DUMMYFUNCTION("""COMPUTED_VALUE"""),"General")</f>
        <v>General</v>
      </c>
      <c r="P112" s="164">
        <f>IFERROR(__xludf.DUMMYFUNCTION("""COMPUTED_VALUE"""),0.019467592592592592)</f>
        <v>0.01946759259</v>
      </c>
      <c r="Q112" s="151"/>
      <c r="R112" s="154"/>
      <c r="S112" s="154"/>
    </row>
    <row r="113">
      <c r="A113" s="154"/>
      <c r="B113" s="154"/>
      <c r="C113" s="155"/>
      <c r="D113" s="156"/>
      <c r="E113" s="155"/>
      <c r="F113" s="155"/>
      <c r="G113" s="155"/>
      <c r="H113" s="157"/>
      <c r="I113" s="154"/>
      <c r="J113" s="154"/>
      <c r="K113" s="154"/>
      <c r="L113" s="147">
        <f>IFERROR(__xludf.DUMMYFUNCTION("""COMPUTED_VALUE"""),2896887.0)</f>
        <v>2896887</v>
      </c>
      <c r="M113" s="148" t="str">
        <f>IFERROR(__xludf.DUMMYFUNCTION("""COMPUTED_VALUE"""),"Reshuffle: A Special Series on the New World of Work")</f>
        <v>Reshuffle: A Special Series on the New World of Work</v>
      </c>
      <c r="N113" s="147" t="str">
        <f>IFERROR(__xludf.DUMMYFUNCTION("""COMPUTED_VALUE"""),"General")</f>
        <v>General</v>
      </c>
      <c r="O113" s="147" t="str">
        <f>IFERROR(__xludf.DUMMYFUNCTION("""COMPUTED_VALUE"""),"General")</f>
        <v>General</v>
      </c>
      <c r="P113" s="164">
        <f>IFERROR(__xludf.DUMMYFUNCTION("""COMPUTED_VALUE"""),0.033900462962962966)</f>
        <v>0.03390046296</v>
      </c>
      <c r="Q113" s="151"/>
      <c r="R113" s="154"/>
      <c r="S113" s="154"/>
    </row>
    <row r="114">
      <c r="A114" s="154"/>
      <c r="B114" s="154"/>
      <c r="C114" s="155"/>
      <c r="D114" s="156"/>
      <c r="E114" s="155"/>
      <c r="F114" s="155"/>
      <c r="G114" s="155"/>
      <c r="H114" s="157"/>
      <c r="I114" s="154"/>
      <c r="J114" s="154"/>
      <c r="K114" s="154"/>
      <c r="L114" s="147">
        <f>IFERROR(__xludf.DUMMYFUNCTION("""COMPUTED_VALUE"""),2424508.0)</f>
        <v>2424508</v>
      </c>
      <c r="M114" s="148" t="str">
        <f>IFERROR(__xludf.DUMMYFUNCTION("""COMPUTED_VALUE"""),"Communicating Across Cultures Virtually")</f>
        <v>Communicating Across Cultures Virtually</v>
      </c>
      <c r="N114" s="147" t="str">
        <f>IFERROR(__xludf.DUMMYFUNCTION("""COMPUTED_VALUE"""),"General")</f>
        <v>General</v>
      </c>
      <c r="O114" s="147" t="str">
        <f>IFERROR(__xludf.DUMMYFUNCTION("""COMPUTED_VALUE"""),"General")</f>
        <v>General</v>
      </c>
      <c r="P114" s="164">
        <f>IFERROR(__xludf.DUMMYFUNCTION("""COMPUTED_VALUE"""),0.0434375)</f>
        <v>0.0434375</v>
      </c>
      <c r="Q114" s="151"/>
      <c r="R114" s="154"/>
      <c r="S114" s="154"/>
    </row>
    <row r="115">
      <c r="A115" s="154"/>
      <c r="B115" s="154"/>
      <c r="C115" s="155"/>
      <c r="D115" s="156"/>
      <c r="E115" s="155"/>
      <c r="F115" s="155"/>
      <c r="G115" s="155"/>
      <c r="H115" s="157"/>
      <c r="I115" s="154"/>
      <c r="J115" s="154"/>
      <c r="K115" s="154"/>
      <c r="L115" s="147">
        <f>IFERROR(__xludf.DUMMYFUNCTION("""COMPUTED_VALUE"""),2425282.0)</f>
        <v>2425282</v>
      </c>
      <c r="M115" s="148" t="str">
        <f>IFERROR(__xludf.DUMMYFUNCTION("""COMPUTED_VALUE"""),"Unlocking Authentic Communication in a Culturally-Diverse Workplace")</f>
        <v>Unlocking Authentic Communication in a Culturally-Diverse Workplace</v>
      </c>
      <c r="N115" s="147" t="str">
        <f>IFERROR(__xludf.DUMMYFUNCTION("""COMPUTED_VALUE"""),"General")</f>
        <v>General</v>
      </c>
      <c r="O115" s="147" t="str">
        <f>IFERROR(__xludf.DUMMYFUNCTION("""COMPUTED_VALUE"""),"General")</f>
        <v>General</v>
      </c>
      <c r="P115" s="164">
        <f>IFERROR(__xludf.DUMMYFUNCTION("""COMPUTED_VALUE"""),0.03449074074074074)</f>
        <v>0.03449074074</v>
      </c>
      <c r="Q115" s="151"/>
      <c r="R115" s="154"/>
      <c r="S115" s="154"/>
    </row>
    <row r="116">
      <c r="A116" s="154"/>
      <c r="B116" s="154"/>
      <c r="C116" s="155"/>
      <c r="D116" s="156"/>
      <c r="E116" s="155"/>
      <c r="F116" s="155"/>
      <c r="G116" s="155"/>
      <c r="H116" s="157"/>
      <c r="I116" s="154"/>
      <c r="J116" s="154"/>
      <c r="K116" s="154"/>
      <c r="L116" s="147">
        <f>IFERROR(__xludf.DUMMYFUNCTION("""COMPUTED_VALUE"""),2426448.0)</f>
        <v>2426448</v>
      </c>
      <c r="M116" s="148" t="str">
        <f>IFERROR(__xludf.DUMMYFUNCTION("""COMPUTED_VALUE"""),"Success Strategies for Women in the Workplace")</f>
        <v>Success Strategies for Women in the Workplace</v>
      </c>
      <c r="N116" s="147" t="str">
        <f>IFERROR(__xludf.DUMMYFUNCTION("""COMPUTED_VALUE"""),"General")</f>
        <v>General</v>
      </c>
      <c r="O116" s="147" t="str">
        <f>IFERROR(__xludf.DUMMYFUNCTION("""COMPUTED_VALUE"""),"General")</f>
        <v>General</v>
      </c>
      <c r="P116" s="164">
        <f>IFERROR(__xludf.DUMMYFUNCTION("""COMPUTED_VALUE"""),0.036319444444444446)</f>
        <v>0.03631944444</v>
      </c>
      <c r="Q116" s="151"/>
      <c r="R116" s="154"/>
      <c r="S116" s="154"/>
    </row>
    <row r="117">
      <c r="A117" s="154"/>
      <c r="B117" s="154"/>
      <c r="C117" s="155"/>
      <c r="D117" s="156"/>
      <c r="E117" s="155"/>
      <c r="F117" s="155"/>
      <c r="G117" s="155"/>
      <c r="H117" s="157"/>
      <c r="I117" s="154"/>
      <c r="J117" s="154"/>
      <c r="K117" s="154"/>
      <c r="L117" s="147">
        <f>IFERROR(__xludf.DUMMYFUNCTION("""COMPUTED_VALUE"""),2822684.0)</f>
        <v>2822684</v>
      </c>
      <c r="M117" s="148" t="str">
        <f>IFERROR(__xludf.DUMMYFUNCTION("""COMPUTED_VALUE"""),"Empathy at Work")</f>
        <v>Empathy at Work</v>
      </c>
      <c r="N117" s="147" t="str">
        <f>IFERROR(__xludf.DUMMYFUNCTION("""COMPUTED_VALUE"""),"General")</f>
        <v>General</v>
      </c>
      <c r="O117" s="147" t="str">
        <f>IFERROR(__xludf.DUMMYFUNCTION("""COMPUTED_VALUE"""),"General")</f>
        <v>General</v>
      </c>
      <c r="P117" s="164">
        <f>IFERROR(__xludf.DUMMYFUNCTION("""COMPUTED_VALUE"""),0.03328703703703704)</f>
        <v>0.03328703704</v>
      </c>
      <c r="Q117" s="151"/>
      <c r="R117" s="154"/>
      <c r="S117" s="154"/>
    </row>
    <row r="118">
      <c r="A118" s="154"/>
      <c r="B118" s="154"/>
      <c r="C118" s="155"/>
      <c r="D118" s="156"/>
      <c r="E118" s="155"/>
      <c r="F118" s="155"/>
      <c r="G118" s="155"/>
      <c r="H118" s="157"/>
      <c r="I118" s="154"/>
      <c r="J118" s="154"/>
      <c r="K118" s="154"/>
      <c r="L118" s="147">
        <f>IFERROR(__xludf.DUMMYFUNCTION("""COMPUTED_VALUE"""),2825722.0)</f>
        <v>2825722</v>
      </c>
      <c r="M118" s="148" t="str">
        <f>IFERROR(__xludf.DUMMYFUNCTION("""COMPUTED_VALUE"""),"Equity First: The Path to Inclusion and Belonging")</f>
        <v>Equity First: The Path to Inclusion and Belonging</v>
      </c>
      <c r="N118" s="147" t="str">
        <f>IFERROR(__xludf.DUMMYFUNCTION("""COMPUTED_VALUE"""),"General")</f>
        <v>General</v>
      </c>
      <c r="O118" s="147" t="str">
        <f>IFERROR(__xludf.DUMMYFUNCTION("""COMPUTED_VALUE"""),"Intermediate")</f>
        <v>Intermediate</v>
      </c>
      <c r="P118" s="164">
        <f>IFERROR(__xludf.DUMMYFUNCTION("""COMPUTED_VALUE"""),0.05859953703703704)</f>
        <v>0.05859953704</v>
      </c>
      <c r="Q118" s="151"/>
      <c r="R118" s="154"/>
      <c r="S118" s="154"/>
    </row>
    <row r="119">
      <c r="A119" s="154"/>
      <c r="B119" s="154"/>
      <c r="C119" s="155"/>
      <c r="D119" s="156"/>
      <c r="E119" s="155"/>
      <c r="F119" s="155"/>
      <c r="G119" s="155"/>
      <c r="H119" s="157"/>
      <c r="I119" s="154"/>
      <c r="J119" s="154"/>
      <c r="K119" s="154"/>
      <c r="L119" s="147">
        <f>IFERROR(__xludf.DUMMYFUNCTION("""COMPUTED_VALUE"""),2825601.0)</f>
        <v>2825601</v>
      </c>
      <c r="M119" s="148" t="str">
        <f>IFERROR(__xludf.DUMMYFUNCTION("""COMPUTED_VALUE"""),"Creating a Connection Culture")</f>
        <v>Creating a Connection Culture</v>
      </c>
      <c r="N119" s="147" t="str">
        <f>IFERROR(__xludf.DUMMYFUNCTION("""COMPUTED_VALUE"""),"General")</f>
        <v>General</v>
      </c>
      <c r="O119" s="147" t="str">
        <f>IFERROR(__xludf.DUMMYFUNCTION("""COMPUTED_VALUE"""),"Intermediate")</f>
        <v>Intermediate</v>
      </c>
      <c r="P119" s="164">
        <f>IFERROR(__xludf.DUMMYFUNCTION("""COMPUTED_VALUE"""),0.04068287037037037)</f>
        <v>0.04068287037</v>
      </c>
      <c r="Q119" s="151"/>
      <c r="R119" s="154"/>
      <c r="S119" s="154"/>
    </row>
    <row r="120">
      <c r="A120" s="154"/>
      <c r="B120" s="154"/>
      <c r="C120" s="155"/>
      <c r="D120" s="156"/>
      <c r="E120" s="155"/>
      <c r="F120" s="155"/>
      <c r="G120" s="155"/>
      <c r="H120" s="157"/>
      <c r="I120" s="154"/>
      <c r="J120" s="154"/>
      <c r="K120" s="154"/>
      <c r="L120" s="147">
        <f>IFERROR(__xludf.DUMMYFUNCTION("""COMPUTED_VALUE"""),2824379.0)</f>
        <v>2824379</v>
      </c>
      <c r="M120" s="148" t="str">
        <f>IFERROR(__xludf.DUMMYFUNCTION("""COMPUTED_VALUE"""),"Fostering Belonging as a Leader")</f>
        <v>Fostering Belonging as a Leader</v>
      </c>
      <c r="N120" s="147" t="str">
        <f>IFERROR(__xludf.DUMMYFUNCTION("""COMPUTED_VALUE"""),"General")</f>
        <v>General</v>
      </c>
      <c r="O120" s="147" t="str">
        <f>IFERROR(__xludf.DUMMYFUNCTION("""COMPUTED_VALUE"""),"Intermediate")</f>
        <v>Intermediate</v>
      </c>
      <c r="P120" s="164">
        <f>IFERROR(__xludf.DUMMYFUNCTION("""COMPUTED_VALUE"""),0.02185185185185185)</f>
        <v>0.02185185185</v>
      </c>
      <c r="Q120" s="151"/>
      <c r="R120" s="154"/>
      <c r="S120" s="154"/>
    </row>
    <row r="121">
      <c r="A121" s="154"/>
      <c r="B121" s="154"/>
      <c r="C121" s="155"/>
      <c r="D121" s="156"/>
      <c r="E121" s="155"/>
      <c r="F121" s="155"/>
      <c r="G121" s="155"/>
      <c r="H121" s="157"/>
      <c r="I121" s="154"/>
      <c r="J121" s="154"/>
      <c r="K121" s="154"/>
      <c r="L121" s="147">
        <f>IFERROR(__xludf.DUMMYFUNCTION("""COMPUTED_VALUE"""),800197.0)</f>
        <v>800197</v>
      </c>
      <c r="M121" s="148" t="str">
        <f>IFERROR(__xludf.DUMMYFUNCTION("""COMPUTED_VALUE"""),"Leadership Strategies for Women")</f>
        <v>Leadership Strategies for Women</v>
      </c>
      <c r="N121" s="147" t="str">
        <f>IFERROR(__xludf.DUMMYFUNCTION("""COMPUTED_VALUE"""),"General")</f>
        <v>General</v>
      </c>
      <c r="O121" s="147" t="str">
        <f>IFERROR(__xludf.DUMMYFUNCTION("""COMPUTED_VALUE"""),"Intermediate")</f>
        <v>Intermediate</v>
      </c>
      <c r="P121" s="164">
        <f>IFERROR(__xludf.DUMMYFUNCTION("""COMPUTED_VALUE"""),0.04584490740740741)</f>
        <v>0.04584490741</v>
      </c>
      <c r="Q121" s="151"/>
      <c r="R121" s="154"/>
      <c r="S121" s="154"/>
    </row>
    <row r="122">
      <c r="A122" s="154"/>
      <c r="B122" s="154"/>
      <c r="C122" s="155"/>
      <c r="D122" s="156"/>
      <c r="E122" s="155"/>
      <c r="F122" s="155"/>
      <c r="G122" s="155"/>
      <c r="H122" s="157"/>
      <c r="I122" s="154"/>
      <c r="J122" s="154"/>
      <c r="K122" s="154"/>
      <c r="L122" s="147">
        <f>IFERROR(__xludf.DUMMYFUNCTION("""COMPUTED_VALUE"""),2823580.0)</f>
        <v>2823580</v>
      </c>
      <c r="M122" s="148" t="str">
        <f>IFERROR(__xludf.DUMMYFUNCTION("""COMPUTED_VALUE"""),"Uncovering Unconscious Bias in Recruiting and Interviewing")</f>
        <v>Uncovering Unconscious Bias in Recruiting and Interviewing</v>
      </c>
      <c r="N122" s="147" t="str">
        <f>IFERROR(__xludf.DUMMYFUNCTION("""COMPUTED_VALUE"""),"General")</f>
        <v>General</v>
      </c>
      <c r="O122" s="147" t="str">
        <f>IFERROR(__xludf.DUMMYFUNCTION("""COMPUTED_VALUE"""),"Intermediate")</f>
        <v>Intermediate</v>
      </c>
      <c r="P122" s="164">
        <f>IFERROR(__xludf.DUMMYFUNCTION("""COMPUTED_VALUE"""),0.03585648148148148)</f>
        <v>0.03585648148</v>
      </c>
      <c r="Q122" s="151"/>
      <c r="R122" s="154"/>
      <c r="S122" s="154"/>
    </row>
    <row r="123">
      <c r="A123" s="154"/>
      <c r="B123" s="154"/>
      <c r="C123" s="155"/>
      <c r="D123" s="156"/>
      <c r="E123" s="155"/>
      <c r="F123" s="155"/>
      <c r="G123" s="155"/>
      <c r="H123" s="157"/>
      <c r="I123" s="154"/>
      <c r="J123" s="154"/>
      <c r="K123" s="154"/>
      <c r="L123" s="147"/>
      <c r="M123" s="153"/>
      <c r="N123" s="147"/>
      <c r="O123" s="147"/>
      <c r="P123" s="147"/>
      <c r="Q123" s="151"/>
      <c r="R123" s="154"/>
      <c r="S123" s="154"/>
    </row>
    <row r="124">
      <c r="A124" s="154"/>
      <c r="B124" s="154"/>
      <c r="C124" s="155"/>
      <c r="D124" s="156"/>
      <c r="E124" s="155"/>
      <c r="F124" s="155"/>
      <c r="G124" s="155"/>
      <c r="H124" s="157"/>
      <c r="I124" s="154"/>
      <c r="J124" s="154"/>
      <c r="K124" s="154"/>
      <c r="L124" s="147"/>
      <c r="M124" s="153"/>
      <c r="N124" s="147"/>
      <c r="O124" s="147"/>
      <c r="P124" s="147"/>
      <c r="Q124" s="151"/>
      <c r="R124" s="154"/>
      <c r="S124" s="154"/>
    </row>
    <row r="125">
      <c r="A125" s="154"/>
      <c r="B125" s="154"/>
      <c r="C125" s="155"/>
      <c r="D125" s="156"/>
      <c r="E125" s="155"/>
      <c r="F125" s="155"/>
      <c r="G125" s="155"/>
      <c r="H125" s="157"/>
      <c r="I125" s="154"/>
      <c r="J125" s="154"/>
      <c r="K125" s="154"/>
      <c r="L125" s="147"/>
      <c r="M125" s="153"/>
      <c r="N125" s="147"/>
      <c r="O125" s="147"/>
      <c r="P125" s="147"/>
      <c r="Q125" s="151"/>
      <c r="R125" s="154"/>
      <c r="S125" s="154"/>
    </row>
    <row r="126">
      <c r="A126" s="154"/>
      <c r="B126" s="154"/>
      <c r="C126" s="155"/>
      <c r="D126" s="156"/>
      <c r="E126" s="155"/>
      <c r="F126" s="155"/>
      <c r="G126" s="155"/>
      <c r="H126" s="157"/>
      <c r="I126" s="154"/>
      <c r="J126" s="154"/>
      <c r="K126" s="154"/>
      <c r="L126" s="147"/>
      <c r="M126" s="153"/>
      <c r="N126" s="147"/>
      <c r="O126" s="147"/>
      <c r="P126" s="147"/>
      <c r="Q126" s="151"/>
      <c r="R126" s="154"/>
      <c r="S126" s="154"/>
    </row>
    <row r="127">
      <c r="A127" s="154"/>
      <c r="B127" s="154"/>
      <c r="C127" s="155"/>
      <c r="D127" s="156"/>
      <c r="E127" s="155"/>
      <c r="F127" s="155"/>
      <c r="G127" s="155"/>
      <c r="H127" s="157"/>
      <c r="I127" s="154"/>
      <c r="J127" s="154"/>
      <c r="K127" s="154"/>
      <c r="L127" s="147"/>
      <c r="M127" s="153"/>
      <c r="N127" s="147"/>
      <c r="O127" s="147"/>
      <c r="P127" s="147"/>
      <c r="Q127" s="151"/>
      <c r="R127" s="154"/>
      <c r="S127" s="154"/>
    </row>
    <row r="128">
      <c r="A128" s="154"/>
      <c r="B128" s="154"/>
      <c r="C128" s="155"/>
      <c r="D128" s="156"/>
      <c r="E128" s="155"/>
      <c r="F128" s="155"/>
      <c r="G128" s="155"/>
      <c r="H128" s="157"/>
      <c r="I128" s="154"/>
      <c r="J128" s="154"/>
      <c r="K128" s="154"/>
      <c r="L128" s="147"/>
      <c r="M128" s="153"/>
      <c r="N128" s="147"/>
      <c r="O128" s="147"/>
      <c r="P128" s="147"/>
      <c r="Q128" s="151"/>
      <c r="R128" s="154"/>
      <c r="S128" s="154"/>
    </row>
    <row r="129">
      <c r="A129" s="154"/>
      <c r="B129" s="154"/>
      <c r="C129" s="155"/>
      <c r="D129" s="156"/>
      <c r="E129" s="155"/>
      <c r="F129" s="155"/>
      <c r="G129" s="155"/>
      <c r="H129" s="157"/>
      <c r="I129" s="154"/>
      <c r="J129" s="154"/>
      <c r="K129" s="154"/>
      <c r="L129" s="147"/>
      <c r="M129" s="153"/>
      <c r="N129" s="147"/>
      <c r="O129" s="147"/>
      <c r="P129" s="147"/>
      <c r="Q129" s="151"/>
      <c r="R129" s="154"/>
      <c r="S129" s="154"/>
    </row>
    <row r="130">
      <c r="A130" s="154"/>
      <c r="B130" s="154"/>
      <c r="C130" s="155"/>
      <c r="D130" s="156"/>
      <c r="E130" s="155"/>
      <c r="F130" s="155"/>
      <c r="G130" s="155"/>
      <c r="H130" s="157"/>
      <c r="I130" s="154"/>
      <c r="J130" s="154"/>
      <c r="K130" s="154"/>
      <c r="L130" s="155"/>
      <c r="M130" s="156"/>
      <c r="N130" s="155"/>
      <c r="O130" s="155"/>
      <c r="P130" s="155"/>
      <c r="Q130" s="157"/>
      <c r="R130" s="154"/>
      <c r="S130" s="154"/>
    </row>
    <row r="131">
      <c r="A131" s="154"/>
      <c r="B131" s="154"/>
      <c r="C131" s="155"/>
      <c r="D131" s="156"/>
      <c r="E131" s="155"/>
      <c r="F131" s="155"/>
      <c r="G131" s="155"/>
      <c r="H131" s="157"/>
      <c r="I131" s="154"/>
      <c r="J131" s="154"/>
      <c r="K131" s="154"/>
      <c r="L131" s="155"/>
      <c r="M131" s="156"/>
      <c r="N131" s="155"/>
      <c r="O131" s="155"/>
      <c r="P131" s="155"/>
      <c r="Q131" s="157"/>
      <c r="R131" s="154"/>
      <c r="S131" s="154"/>
    </row>
    <row r="132">
      <c r="A132" s="154"/>
      <c r="B132" s="154"/>
      <c r="C132" s="155"/>
      <c r="D132" s="156"/>
      <c r="E132" s="155"/>
      <c r="F132" s="155"/>
      <c r="G132" s="155"/>
      <c r="H132" s="157"/>
      <c r="I132" s="154"/>
      <c r="J132" s="154"/>
      <c r="K132" s="154"/>
      <c r="L132" s="155"/>
      <c r="M132" s="156"/>
      <c r="N132" s="155"/>
      <c r="O132" s="155"/>
      <c r="P132" s="155"/>
      <c r="Q132" s="157"/>
      <c r="R132" s="154"/>
      <c r="S132" s="154"/>
    </row>
    <row r="133">
      <c r="A133" s="154"/>
      <c r="B133" s="154"/>
      <c r="C133" s="155"/>
      <c r="D133" s="156"/>
      <c r="E133" s="155"/>
      <c r="F133" s="155"/>
      <c r="G133" s="155"/>
      <c r="H133" s="157"/>
      <c r="I133" s="154"/>
      <c r="J133" s="154"/>
      <c r="K133" s="154"/>
      <c r="L133" s="155"/>
      <c r="M133" s="156"/>
      <c r="N133" s="155"/>
      <c r="O133" s="155"/>
      <c r="P133" s="155"/>
      <c r="Q133" s="157"/>
      <c r="R133" s="154"/>
      <c r="S133" s="154"/>
    </row>
    <row r="134">
      <c r="A134" s="154"/>
      <c r="B134" s="154"/>
      <c r="C134" s="155"/>
      <c r="D134" s="156"/>
      <c r="E134" s="155"/>
      <c r="F134" s="155"/>
      <c r="G134" s="155"/>
      <c r="H134" s="157"/>
      <c r="I134" s="154"/>
      <c r="J134" s="154"/>
      <c r="K134" s="154"/>
      <c r="L134" s="155"/>
      <c r="M134" s="156"/>
      <c r="N134" s="155"/>
      <c r="O134" s="155"/>
      <c r="P134" s="155"/>
      <c r="Q134" s="157"/>
      <c r="R134" s="154"/>
      <c r="S134" s="154"/>
    </row>
    <row r="135">
      <c r="A135" s="154"/>
      <c r="B135" s="154"/>
      <c r="C135" s="155"/>
      <c r="D135" s="156"/>
      <c r="E135" s="155"/>
      <c r="F135" s="155"/>
      <c r="G135" s="155"/>
      <c r="H135" s="157"/>
      <c r="I135" s="154"/>
      <c r="J135" s="154"/>
      <c r="K135" s="154"/>
      <c r="L135" s="155"/>
      <c r="M135" s="156"/>
      <c r="N135" s="155"/>
      <c r="O135" s="155"/>
      <c r="P135" s="155"/>
      <c r="Q135" s="157"/>
      <c r="R135" s="154"/>
      <c r="S135" s="154"/>
    </row>
    <row r="136">
      <c r="A136" s="154"/>
      <c r="B136" s="154"/>
      <c r="C136" s="155"/>
      <c r="D136" s="156"/>
      <c r="E136" s="155"/>
      <c r="F136" s="155"/>
      <c r="G136" s="155"/>
      <c r="H136" s="157"/>
      <c r="I136" s="154"/>
      <c r="J136" s="154"/>
      <c r="K136" s="154"/>
      <c r="L136" s="155"/>
      <c r="M136" s="156"/>
      <c r="N136" s="155"/>
      <c r="O136" s="155"/>
      <c r="P136" s="155"/>
      <c r="Q136" s="157"/>
      <c r="R136" s="154"/>
      <c r="S136" s="154"/>
    </row>
    <row r="137">
      <c r="A137" s="154"/>
      <c r="B137" s="154"/>
      <c r="C137" s="155"/>
      <c r="D137" s="156"/>
      <c r="E137" s="155"/>
      <c r="F137" s="155"/>
      <c r="G137" s="155"/>
      <c r="H137" s="157"/>
      <c r="I137" s="154"/>
      <c r="J137" s="154"/>
      <c r="K137" s="154"/>
      <c r="L137" s="155"/>
      <c r="M137" s="156"/>
      <c r="N137" s="155"/>
      <c r="O137" s="155"/>
      <c r="P137" s="155"/>
      <c r="Q137" s="157"/>
      <c r="R137" s="154"/>
      <c r="S137" s="154"/>
    </row>
    <row r="138">
      <c r="A138" s="154"/>
      <c r="B138" s="154"/>
      <c r="C138" s="155"/>
      <c r="D138" s="156"/>
      <c r="E138" s="155"/>
      <c r="F138" s="155"/>
      <c r="G138" s="155"/>
      <c r="H138" s="157"/>
      <c r="I138" s="154"/>
      <c r="J138" s="154"/>
      <c r="K138" s="154"/>
      <c r="L138" s="155"/>
      <c r="M138" s="156"/>
      <c r="N138" s="155"/>
      <c r="O138" s="155"/>
      <c r="P138" s="155"/>
      <c r="Q138" s="157"/>
      <c r="R138" s="154"/>
      <c r="S138" s="154"/>
    </row>
    <row r="139">
      <c r="A139" s="154"/>
      <c r="B139" s="154"/>
      <c r="C139" s="155"/>
      <c r="D139" s="156"/>
      <c r="E139" s="155"/>
      <c r="F139" s="155"/>
      <c r="G139" s="155"/>
      <c r="H139" s="157"/>
      <c r="I139" s="154"/>
      <c r="J139" s="154"/>
      <c r="K139" s="154"/>
      <c r="L139" s="155"/>
      <c r="M139" s="156"/>
      <c r="N139" s="155"/>
      <c r="O139" s="155"/>
      <c r="P139" s="155"/>
      <c r="Q139" s="157"/>
      <c r="R139" s="154"/>
      <c r="S139" s="154"/>
    </row>
    <row r="140">
      <c r="A140" s="154"/>
      <c r="B140" s="154"/>
      <c r="C140" s="155"/>
      <c r="D140" s="156"/>
      <c r="E140" s="155"/>
      <c r="F140" s="155"/>
      <c r="G140" s="155"/>
      <c r="H140" s="157"/>
      <c r="I140" s="154"/>
      <c r="J140" s="154"/>
      <c r="K140" s="154"/>
      <c r="L140" s="155"/>
      <c r="M140" s="156"/>
      <c r="N140" s="155"/>
      <c r="O140" s="155"/>
      <c r="P140" s="155"/>
      <c r="Q140" s="157"/>
      <c r="R140" s="154"/>
      <c r="S140" s="154"/>
    </row>
    <row r="141">
      <c r="A141" s="154"/>
      <c r="B141" s="154"/>
      <c r="C141" s="155"/>
      <c r="D141" s="156"/>
      <c r="E141" s="155"/>
      <c r="F141" s="155"/>
      <c r="G141" s="155"/>
      <c r="H141" s="157"/>
      <c r="I141" s="154"/>
      <c r="J141" s="154"/>
      <c r="K141" s="154"/>
      <c r="L141" s="155"/>
      <c r="M141" s="156"/>
      <c r="N141" s="155"/>
      <c r="O141" s="155"/>
      <c r="P141" s="155"/>
      <c r="Q141" s="157"/>
      <c r="R141" s="154"/>
      <c r="S141" s="154"/>
    </row>
    <row r="142">
      <c r="A142" s="154"/>
      <c r="B142" s="154"/>
      <c r="C142" s="155"/>
      <c r="D142" s="156"/>
      <c r="E142" s="155"/>
      <c r="F142" s="155"/>
      <c r="G142" s="155"/>
      <c r="H142" s="157"/>
      <c r="I142" s="154"/>
      <c r="J142" s="154"/>
      <c r="K142" s="154"/>
      <c r="L142" s="155"/>
      <c r="M142" s="156"/>
      <c r="N142" s="155"/>
      <c r="O142" s="155"/>
      <c r="P142" s="155"/>
      <c r="Q142" s="157"/>
      <c r="R142" s="154"/>
      <c r="S142" s="154"/>
    </row>
    <row r="143">
      <c r="A143" s="154"/>
      <c r="B143" s="154"/>
      <c r="C143" s="155"/>
      <c r="D143" s="156"/>
      <c r="E143" s="155"/>
      <c r="F143" s="155"/>
      <c r="G143" s="155"/>
      <c r="H143" s="157"/>
      <c r="I143" s="154"/>
      <c r="J143" s="154"/>
      <c r="K143" s="154"/>
      <c r="L143" s="155"/>
      <c r="M143" s="156"/>
      <c r="N143" s="155"/>
      <c r="O143" s="155"/>
      <c r="P143" s="155"/>
      <c r="Q143" s="157"/>
      <c r="R143" s="154"/>
      <c r="S143" s="154"/>
    </row>
    <row r="144">
      <c r="A144" s="154"/>
      <c r="B144" s="154"/>
      <c r="C144" s="155"/>
      <c r="D144" s="156"/>
      <c r="E144" s="155"/>
      <c r="F144" s="155"/>
      <c r="G144" s="155"/>
      <c r="H144" s="157"/>
      <c r="I144" s="154"/>
      <c r="J144" s="154"/>
      <c r="K144" s="154"/>
      <c r="L144" s="155"/>
      <c r="M144" s="156"/>
      <c r="N144" s="155"/>
      <c r="O144" s="155"/>
      <c r="P144" s="155"/>
      <c r="Q144" s="157"/>
      <c r="R144" s="154"/>
      <c r="S144" s="154"/>
    </row>
    <row r="145">
      <c r="A145" s="154"/>
      <c r="B145" s="154"/>
      <c r="C145" s="155"/>
      <c r="D145" s="156"/>
      <c r="E145" s="155"/>
      <c r="F145" s="155"/>
      <c r="G145" s="155"/>
      <c r="H145" s="157"/>
      <c r="I145" s="154"/>
      <c r="J145" s="154"/>
      <c r="K145" s="154"/>
      <c r="L145" s="155"/>
      <c r="M145" s="156"/>
      <c r="N145" s="155"/>
      <c r="O145" s="155"/>
      <c r="P145" s="155"/>
      <c r="Q145" s="157"/>
      <c r="R145" s="154"/>
      <c r="S145" s="154"/>
    </row>
    <row r="146">
      <c r="A146" s="154"/>
      <c r="B146" s="154"/>
      <c r="C146" s="155"/>
      <c r="D146" s="156"/>
      <c r="E146" s="155"/>
      <c r="F146" s="155"/>
      <c r="G146" s="155"/>
      <c r="H146" s="157"/>
      <c r="I146" s="154"/>
      <c r="J146" s="154"/>
      <c r="K146" s="154"/>
      <c r="L146" s="155"/>
      <c r="M146" s="156"/>
      <c r="N146" s="155"/>
      <c r="O146" s="155"/>
      <c r="P146" s="155"/>
      <c r="Q146" s="157"/>
      <c r="R146" s="154"/>
      <c r="S146" s="154"/>
    </row>
    <row r="147">
      <c r="A147" s="154"/>
      <c r="B147" s="154"/>
      <c r="C147" s="155"/>
      <c r="D147" s="156"/>
      <c r="E147" s="155"/>
      <c r="F147" s="155"/>
      <c r="G147" s="155"/>
      <c r="H147" s="157"/>
      <c r="I147" s="154"/>
      <c r="J147" s="154"/>
      <c r="K147" s="154"/>
      <c r="L147" s="155"/>
      <c r="M147" s="156"/>
      <c r="N147" s="155"/>
      <c r="O147" s="155"/>
      <c r="P147" s="155"/>
      <c r="Q147" s="157"/>
      <c r="R147" s="154"/>
      <c r="S147" s="154"/>
    </row>
    <row r="148">
      <c r="A148" s="154"/>
      <c r="B148" s="154"/>
      <c r="C148" s="155"/>
      <c r="D148" s="156"/>
      <c r="E148" s="155"/>
      <c r="F148" s="155"/>
      <c r="G148" s="155"/>
      <c r="H148" s="157"/>
      <c r="I148" s="154"/>
      <c r="J148" s="154"/>
      <c r="K148" s="154"/>
      <c r="L148" s="155"/>
      <c r="M148" s="156"/>
      <c r="N148" s="155"/>
      <c r="O148" s="155"/>
      <c r="P148" s="155"/>
      <c r="Q148" s="157"/>
      <c r="R148" s="154"/>
      <c r="S148" s="154"/>
    </row>
    <row r="149">
      <c r="A149" s="154"/>
      <c r="B149" s="154"/>
      <c r="C149" s="155"/>
      <c r="D149" s="156"/>
      <c r="E149" s="155"/>
      <c r="F149" s="155"/>
      <c r="G149" s="155"/>
      <c r="H149" s="157"/>
      <c r="I149" s="154"/>
      <c r="J149" s="154"/>
      <c r="K149" s="154"/>
      <c r="L149" s="155"/>
      <c r="M149" s="156"/>
      <c r="N149" s="155"/>
      <c r="O149" s="155"/>
      <c r="P149" s="155"/>
      <c r="Q149" s="157"/>
      <c r="R149" s="154"/>
      <c r="S149" s="154"/>
    </row>
    <row r="150">
      <c r="A150" s="154"/>
      <c r="B150" s="154"/>
      <c r="C150" s="155"/>
      <c r="D150" s="156"/>
      <c r="E150" s="155"/>
      <c r="F150" s="155"/>
      <c r="G150" s="155"/>
      <c r="H150" s="157"/>
      <c r="I150" s="154"/>
      <c r="J150" s="154"/>
      <c r="K150" s="154"/>
      <c r="L150" s="155"/>
      <c r="M150" s="156"/>
      <c r="N150" s="155"/>
      <c r="O150" s="155"/>
      <c r="P150" s="155"/>
      <c r="Q150" s="157"/>
      <c r="R150" s="154"/>
      <c r="S150" s="154"/>
    </row>
    <row r="151">
      <c r="A151" s="154"/>
      <c r="B151" s="154"/>
      <c r="C151" s="155"/>
      <c r="D151" s="156"/>
      <c r="E151" s="155"/>
      <c r="F151" s="155"/>
      <c r="G151" s="155"/>
      <c r="H151" s="157"/>
      <c r="I151" s="154"/>
      <c r="J151" s="154"/>
      <c r="K151" s="154"/>
      <c r="L151" s="155"/>
      <c r="M151" s="156"/>
      <c r="N151" s="155"/>
      <c r="O151" s="155"/>
      <c r="P151" s="155"/>
      <c r="Q151" s="157"/>
      <c r="R151" s="154"/>
      <c r="S151" s="154"/>
    </row>
    <row r="152">
      <c r="A152" s="154"/>
      <c r="B152" s="154"/>
      <c r="C152" s="155"/>
      <c r="D152" s="156"/>
      <c r="E152" s="155"/>
      <c r="F152" s="155"/>
      <c r="G152" s="155"/>
      <c r="H152" s="157"/>
      <c r="I152" s="154"/>
      <c r="J152" s="154"/>
      <c r="K152" s="154"/>
      <c r="L152" s="155"/>
      <c r="M152" s="156"/>
      <c r="N152" s="155"/>
      <c r="O152" s="155"/>
      <c r="P152" s="155"/>
      <c r="Q152" s="157"/>
      <c r="R152" s="154"/>
      <c r="S152" s="154"/>
    </row>
    <row r="153">
      <c r="A153" s="154"/>
      <c r="B153" s="154"/>
      <c r="C153" s="155"/>
      <c r="D153" s="156"/>
      <c r="E153" s="155"/>
      <c r="F153" s="155"/>
      <c r="G153" s="155"/>
      <c r="H153" s="157"/>
      <c r="I153" s="154"/>
      <c r="J153" s="154"/>
      <c r="K153" s="154"/>
      <c r="L153" s="155"/>
      <c r="M153" s="156"/>
      <c r="N153" s="155"/>
      <c r="O153" s="155"/>
      <c r="P153" s="155"/>
      <c r="Q153" s="157"/>
      <c r="R153" s="154"/>
      <c r="S153" s="154"/>
    </row>
    <row r="154">
      <c r="A154" s="154"/>
      <c r="B154" s="154"/>
      <c r="C154" s="155"/>
      <c r="D154" s="156"/>
      <c r="E154" s="155"/>
      <c r="F154" s="155"/>
      <c r="G154" s="155"/>
      <c r="H154" s="157"/>
      <c r="I154" s="154"/>
      <c r="J154" s="154"/>
      <c r="K154" s="154"/>
      <c r="L154" s="155"/>
      <c r="M154" s="156"/>
      <c r="N154" s="155"/>
      <c r="O154" s="155"/>
      <c r="P154" s="155"/>
      <c r="Q154" s="157"/>
      <c r="R154" s="154"/>
      <c r="S154" s="154"/>
    </row>
    <row r="155">
      <c r="A155" s="154"/>
      <c r="B155" s="154"/>
      <c r="C155" s="155"/>
      <c r="D155" s="156"/>
      <c r="E155" s="155"/>
      <c r="F155" s="155"/>
      <c r="G155" s="155"/>
      <c r="H155" s="157"/>
      <c r="I155" s="154"/>
      <c r="J155" s="154"/>
      <c r="K155" s="154"/>
      <c r="L155" s="155"/>
      <c r="M155" s="156"/>
      <c r="N155" s="155"/>
      <c r="O155" s="155"/>
      <c r="P155" s="155"/>
      <c r="Q155" s="157"/>
      <c r="R155" s="154"/>
      <c r="S155" s="154"/>
    </row>
    <row r="156">
      <c r="A156" s="154"/>
      <c r="B156" s="154"/>
      <c r="C156" s="155"/>
      <c r="D156" s="156"/>
      <c r="E156" s="155"/>
      <c r="F156" s="155"/>
      <c r="G156" s="155"/>
      <c r="H156" s="157"/>
      <c r="I156" s="154"/>
      <c r="J156" s="154"/>
      <c r="K156" s="154"/>
      <c r="L156" s="155"/>
      <c r="M156" s="156"/>
      <c r="N156" s="155"/>
      <c r="O156" s="155"/>
      <c r="P156" s="155"/>
      <c r="Q156" s="157"/>
      <c r="R156" s="154"/>
      <c r="S156" s="154"/>
    </row>
    <row r="157">
      <c r="A157" s="154"/>
      <c r="B157" s="154"/>
      <c r="C157" s="155"/>
      <c r="D157" s="156"/>
      <c r="E157" s="155"/>
      <c r="F157" s="155"/>
      <c r="G157" s="155"/>
      <c r="H157" s="157"/>
      <c r="I157" s="154"/>
      <c r="J157" s="154"/>
      <c r="K157" s="154"/>
      <c r="L157" s="155"/>
      <c r="M157" s="156"/>
      <c r="N157" s="155"/>
      <c r="O157" s="155"/>
      <c r="P157" s="155"/>
      <c r="Q157" s="157"/>
      <c r="R157" s="154"/>
      <c r="S157" s="154"/>
    </row>
    <row r="158">
      <c r="A158" s="154"/>
      <c r="B158" s="154"/>
      <c r="C158" s="155"/>
      <c r="D158" s="156"/>
      <c r="E158" s="155"/>
      <c r="F158" s="155"/>
      <c r="G158" s="155"/>
      <c r="H158" s="157"/>
      <c r="I158" s="154"/>
      <c r="J158" s="154"/>
      <c r="K158" s="154"/>
      <c r="L158" s="155"/>
      <c r="M158" s="156"/>
      <c r="N158" s="155"/>
      <c r="O158" s="155"/>
      <c r="P158" s="155"/>
      <c r="Q158" s="157"/>
      <c r="R158" s="154"/>
      <c r="S158" s="154"/>
    </row>
    <row r="159">
      <c r="A159" s="154"/>
      <c r="B159" s="154"/>
      <c r="C159" s="155"/>
      <c r="D159" s="156"/>
      <c r="E159" s="155"/>
      <c r="F159" s="155"/>
      <c r="G159" s="155"/>
      <c r="H159" s="157"/>
      <c r="I159" s="154"/>
      <c r="J159" s="154"/>
      <c r="K159" s="154"/>
      <c r="L159" s="155"/>
      <c r="M159" s="156"/>
      <c r="N159" s="155"/>
      <c r="O159" s="155"/>
      <c r="P159" s="155"/>
      <c r="Q159" s="157"/>
      <c r="R159" s="154"/>
      <c r="S159" s="154"/>
    </row>
    <row r="160">
      <c r="A160" s="154"/>
      <c r="B160" s="154"/>
      <c r="C160" s="155"/>
      <c r="D160" s="156"/>
      <c r="E160" s="155"/>
      <c r="F160" s="155"/>
      <c r="G160" s="155"/>
      <c r="H160" s="157"/>
      <c r="I160" s="154"/>
      <c r="J160" s="154"/>
      <c r="K160" s="154"/>
      <c r="L160" s="155"/>
      <c r="M160" s="156"/>
      <c r="N160" s="155"/>
      <c r="O160" s="155"/>
      <c r="P160" s="155"/>
      <c r="Q160" s="157"/>
      <c r="R160" s="154"/>
      <c r="S160" s="154"/>
    </row>
    <row r="161">
      <c r="A161" s="154"/>
      <c r="B161" s="154"/>
      <c r="C161" s="155"/>
      <c r="D161" s="156"/>
      <c r="E161" s="155"/>
      <c r="F161" s="155"/>
      <c r="G161" s="155"/>
      <c r="H161" s="157"/>
      <c r="I161" s="154"/>
      <c r="J161" s="154"/>
      <c r="K161" s="154"/>
      <c r="L161" s="155"/>
      <c r="M161" s="156"/>
      <c r="N161" s="155"/>
      <c r="O161" s="155"/>
      <c r="P161" s="155"/>
      <c r="Q161" s="157"/>
      <c r="R161" s="154"/>
      <c r="S161" s="154"/>
    </row>
    <row r="162">
      <c r="A162" s="154"/>
      <c r="B162" s="154"/>
      <c r="C162" s="155"/>
      <c r="D162" s="156"/>
      <c r="E162" s="155"/>
      <c r="F162" s="155"/>
      <c r="G162" s="155"/>
      <c r="H162" s="157"/>
      <c r="I162" s="154"/>
      <c r="J162" s="154"/>
      <c r="K162" s="154"/>
      <c r="L162" s="155"/>
      <c r="M162" s="156"/>
      <c r="N162" s="155"/>
      <c r="O162" s="155"/>
      <c r="P162" s="155"/>
      <c r="Q162" s="157"/>
      <c r="R162" s="154"/>
      <c r="S162" s="154"/>
    </row>
    <row r="163">
      <c r="A163" s="154"/>
      <c r="B163" s="154"/>
      <c r="C163" s="155"/>
      <c r="D163" s="156"/>
      <c r="E163" s="155"/>
      <c r="F163" s="155"/>
      <c r="G163" s="155"/>
      <c r="H163" s="157"/>
      <c r="I163" s="154"/>
      <c r="J163" s="154"/>
      <c r="K163" s="154"/>
      <c r="L163" s="155"/>
      <c r="M163" s="156"/>
      <c r="N163" s="155"/>
      <c r="O163" s="155"/>
      <c r="P163" s="155"/>
      <c r="Q163" s="157"/>
      <c r="R163" s="154"/>
      <c r="S163" s="154"/>
    </row>
    <row r="164">
      <c r="A164" s="154"/>
      <c r="B164" s="154"/>
      <c r="C164" s="155"/>
      <c r="D164" s="156"/>
      <c r="E164" s="155"/>
      <c r="F164" s="155"/>
      <c r="G164" s="155"/>
      <c r="H164" s="157"/>
      <c r="I164" s="154"/>
      <c r="J164" s="154"/>
      <c r="K164" s="154"/>
      <c r="L164" s="155"/>
      <c r="M164" s="156"/>
      <c r="N164" s="155"/>
      <c r="O164" s="155"/>
      <c r="P164" s="155"/>
      <c r="Q164" s="157"/>
      <c r="R164" s="154"/>
      <c r="S164" s="154"/>
    </row>
    <row r="165">
      <c r="A165" s="154"/>
      <c r="B165" s="154"/>
      <c r="C165" s="155"/>
      <c r="D165" s="156"/>
      <c r="E165" s="155"/>
      <c r="F165" s="155"/>
      <c r="G165" s="155"/>
      <c r="H165" s="157"/>
      <c r="I165" s="154"/>
      <c r="J165" s="154"/>
      <c r="K165" s="154"/>
      <c r="L165" s="155"/>
      <c r="M165" s="156"/>
      <c r="N165" s="155"/>
      <c r="O165" s="155"/>
      <c r="P165" s="155"/>
      <c r="Q165" s="157"/>
      <c r="R165" s="154"/>
      <c r="S165" s="154"/>
    </row>
    <row r="166">
      <c r="A166" s="154"/>
      <c r="B166" s="154"/>
      <c r="C166" s="155"/>
      <c r="D166" s="156"/>
      <c r="E166" s="155"/>
      <c r="F166" s="155"/>
      <c r="G166" s="155"/>
      <c r="H166" s="157"/>
      <c r="I166" s="154"/>
      <c r="J166" s="154"/>
      <c r="K166" s="154"/>
      <c r="L166" s="155"/>
      <c r="M166" s="156"/>
      <c r="N166" s="155"/>
      <c r="O166" s="155"/>
      <c r="P166" s="155"/>
      <c r="Q166" s="157"/>
      <c r="R166" s="154"/>
      <c r="S166" s="154"/>
    </row>
    <row r="167">
      <c r="A167" s="154"/>
      <c r="B167" s="154"/>
      <c r="C167" s="155"/>
      <c r="D167" s="156"/>
      <c r="E167" s="155"/>
      <c r="F167" s="155"/>
      <c r="G167" s="155"/>
      <c r="H167" s="157"/>
      <c r="I167" s="154"/>
      <c r="J167" s="154"/>
      <c r="K167" s="154"/>
      <c r="L167" s="155"/>
      <c r="M167" s="156"/>
      <c r="N167" s="155"/>
      <c r="O167" s="155"/>
      <c r="P167" s="155"/>
      <c r="Q167" s="157"/>
      <c r="R167" s="154"/>
      <c r="S167" s="154"/>
    </row>
    <row r="168">
      <c r="A168" s="154"/>
      <c r="B168" s="154"/>
      <c r="C168" s="155"/>
      <c r="D168" s="156"/>
      <c r="E168" s="155"/>
      <c r="F168" s="155"/>
      <c r="G168" s="155"/>
      <c r="H168" s="157"/>
      <c r="I168" s="154"/>
      <c r="J168" s="154"/>
      <c r="K168" s="154"/>
      <c r="L168" s="155"/>
      <c r="M168" s="156"/>
      <c r="N168" s="155"/>
      <c r="O168" s="155"/>
      <c r="P168" s="155"/>
      <c r="Q168" s="157"/>
      <c r="R168" s="154"/>
      <c r="S168" s="154"/>
    </row>
    <row r="169">
      <c r="A169" s="154"/>
      <c r="B169" s="154"/>
      <c r="C169" s="155"/>
      <c r="D169" s="156"/>
      <c r="E169" s="155"/>
      <c r="F169" s="155"/>
      <c r="G169" s="155"/>
      <c r="H169" s="157"/>
      <c r="I169" s="154"/>
      <c r="J169" s="154"/>
      <c r="K169" s="154"/>
      <c r="L169" s="155"/>
      <c r="M169" s="156"/>
      <c r="N169" s="155"/>
      <c r="O169" s="155"/>
      <c r="P169" s="155"/>
      <c r="Q169" s="157"/>
      <c r="R169" s="154"/>
      <c r="S169" s="154"/>
    </row>
    <row r="170">
      <c r="A170" s="154"/>
      <c r="B170" s="154"/>
      <c r="C170" s="155"/>
      <c r="D170" s="156"/>
      <c r="E170" s="155"/>
      <c r="F170" s="155"/>
      <c r="G170" s="155"/>
      <c r="H170" s="157"/>
      <c r="I170" s="154"/>
      <c r="J170" s="154"/>
      <c r="K170" s="154"/>
      <c r="L170" s="155"/>
      <c r="M170" s="156"/>
      <c r="N170" s="155"/>
      <c r="O170" s="155"/>
      <c r="P170" s="155"/>
      <c r="Q170" s="157"/>
      <c r="R170" s="154"/>
      <c r="S170" s="154"/>
    </row>
    <row r="171">
      <c r="A171" s="154"/>
      <c r="B171" s="154"/>
      <c r="C171" s="155"/>
      <c r="D171" s="156"/>
      <c r="E171" s="155"/>
      <c r="F171" s="155"/>
      <c r="G171" s="155"/>
      <c r="H171" s="157"/>
      <c r="I171" s="154"/>
      <c r="J171" s="154"/>
      <c r="K171" s="154"/>
      <c r="L171" s="155"/>
      <c r="M171" s="156"/>
      <c r="N171" s="155"/>
      <c r="O171" s="155"/>
      <c r="P171" s="155"/>
      <c r="Q171" s="157"/>
      <c r="R171" s="154"/>
      <c r="S171" s="154"/>
    </row>
    <row r="172">
      <c r="A172" s="154"/>
      <c r="B172" s="154"/>
      <c r="C172" s="155"/>
      <c r="D172" s="156"/>
      <c r="E172" s="155"/>
      <c r="F172" s="155"/>
      <c r="G172" s="155"/>
      <c r="H172" s="157"/>
      <c r="I172" s="154"/>
      <c r="J172" s="154"/>
      <c r="K172" s="154"/>
      <c r="L172" s="155"/>
      <c r="M172" s="156"/>
      <c r="N172" s="155"/>
      <c r="O172" s="155"/>
      <c r="P172" s="155"/>
      <c r="Q172" s="157"/>
      <c r="R172" s="154"/>
      <c r="S172" s="154"/>
    </row>
    <row r="173">
      <c r="A173" s="154"/>
      <c r="B173" s="154"/>
      <c r="C173" s="155"/>
      <c r="D173" s="156"/>
      <c r="E173" s="155"/>
      <c r="F173" s="155"/>
      <c r="G173" s="155"/>
      <c r="H173" s="157"/>
      <c r="I173" s="154"/>
      <c r="J173" s="154"/>
      <c r="K173" s="154"/>
      <c r="L173" s="155"/>
      <c r="M173" s="156"/>
      <c r="N173" s="155"/>
      <c r="O173" s="155"/>
      <c r="P173" s="155"/>
      <c r="Q173" s="157"/>
      <c r="R173" s="154"/>
      <c r="S173" s="154"/>
    </row>
    <row r="174">
      <c r="A174" s="154"/>
      <c r="B174" s="154"/>
      <c r="C174" s="155"/>
      <c r="D174" s="156"/>
      <c r="E174" s="155"/>
      <c r="F174" s="155"/>
      <c r="G174" s="155"/>
      <c r="H174" s="157"/>
      <c r="I174" s="154"/>
      <c r="J174" s="154"/>
      <c r="K174" s="154"/>
      <c r="L174" s="155"/>
      <c r="M174" s="156"/>
      <c r="N174" s="155"/>
      <c r="O174" s="155"/>
      <c r="P174" s="155"/>
      <c r="Q174" s="157"/>
      <c r="R174" s="154"/>
      <c r="S174" s="154"/>
    </row>
    <row r="175">
      <c r="A175" s="154"/>
      <c r="B175" s="154"/>
      <c r="C175" s="155"/>
      <c r="D175" s="156"/>
      <c r="E175" s="155"/>
      <c r="F175" s="155"/>
      <c r="G175" s="155"/>
      <c r="H175" s="157"/>
      <c r="I175" s="154"/>
      <c r="J175" s="154"/>
      <c r="K175" s="154"/>
      <c r="L175" s="155"/>
      <c r="M175" s="156"/>
      <c r="N175" s="155"/>
      <c r="O175" s="155"/>
      <c r="P175" s="155"/>
      <c r="Q175" s="157"/>
      <c r="R175" s="154"/>
      <c r="S175" s="154"/>
    </row>
    <row r="176">
      <c r="A176" s="154"/>
      <c r="B176" s="154"/>
      <c r="C176" s="155"/>
      <c r="D176" s="156"/>
      <c r="E176" s="155"/>
      <c r="F176" s="155"/>
      <c r="G176" s="155"/>
      <c r="H176" s="157"/>
      <c r="I176" s="154"/>
      <c r="J176" s="154"/>
      <c r="K176" s="154"/>
      <c r="L176" s="155"/>
      <c r="M176" s="156"/>
      <c r="N176" s="155"/>
      <c r="O176" s="155"/>
      <c r="P176" s="155"/>
      <c r="Q176" s="157"/>
      <c r="R176" s="154"/>
      <c r="S176" s="154"/>
    </row>
    <row r="177">
      <c r="A177" s="154"/>
      <c r="B177" s="154"/>
      <c r="C177" s="155"/>
      <c r="D177" s="156"/>
      <c r="E177" s="155"/>
      <c r="F177" s="155"/>
      <c r="G177" s="155"/>
      <c r="H177" s="157"/>
      <c r="I177" s="154"/>
      <c r="J177" s="154"/>
      <c r="K177" s="154"/>
      <c r="L177" s="155"/>
      <c r="M177" s="156"/>
      <c r="N177" s="155"/>
      <c r="O177" s="155"/>
      <c r="P177" s="155"/>
      <c r="Q177" s="157"/>
      <c r="R177" s="154"/>
      <c r="S177" s="154"/>
    </row>
    <row r="178">
      <c r="A178" s="154"/>
      <c r="B178" s="154"/>
      <c r="C178" s="155"/>
      <c r="D178" s="156"/>
      <c r="E178" s="155"/>
      <c r="F178" s="155"/>
      <c r="G178" s="155"/>
      <c r="H178" s="157"/>
      <c r="I178" s="154"/>
      <c r="J178" s="154"/>
      <c r="K178" s="154"/>
      <c r="L178" s="155"/>
      <c r="M178" s="156"/>
      <c r="N178" s="155"/>
      <c r="O178" s="155"/>
      <c r="P178" s="155"/>
      <c r="Q178" s="157"/>
      <c r="R178" s="154"/>
      <c r="S178" s="154"/>
    </row>
    <row r="179">
      <c r="A179" s="154"/>
      <c r="B179" s="154"/>
      <c r="C179" s="155"/>
      <c r="D179" s="156"/>
      <c r="E179" s="155"/>
      <c r="F179" s="155"/>
      <c r="G179" s="155"/>
      <c r="H179" s="157"/>
      <c r="I179" s="154"/>
      <c r="J179" s="154"/>
      <c r="K179" s="154"/>
      <c r="L179" s="155"/>
      <c r="M179" s="156"/>
      <c r="N179" s="155"/>
      <c r="O179" s="155"/>
      <c r="P179" s="155"/>
      <c r="Q179" s="157"/>
      <c r="R179" s="154"/>
      <c r="S179" s="154"/>
    </row>
    <row r="180">
      <c r="A180" s="154"/>
      <c r="B180" s="154"/>
      <c r="C180" s="155"/>
      <c r="D180" s="156"/>
      <c r="E180" s="155"/>
      <c r="F180" s="155"/>
      <c r="G180" s="155"/>
      <c r="H180" s="157"/>
      <c r="I180" s="154"/>
      <c r="J180" s="154"/>
      <c r="K180" s="154"/>
      <c r="L180" s="155"/>
      <c r="M180" s="156"/>
      <c r="N180" s="155"/>
      <c r="O180" s="155"/>
      <c r="P180" s="155"/>
      <c r="Q180" s="157"/>
      <c r="R180" s="154"/>
      <c r="S180" s="154"/>
    </row>
    <row r="181">
      <c r="A181" s="154"/>
      <c r="B181" s="154"/>
      <c r="C181" s="155"/>
      <c r="D181" s="156"/>
      <c r="E181" s="155"/>
      <c r="F181" s="155"/>
      <c r="G181" s="155"/>
      <c r="H181" s="157"/>
      <c r="I181" s="154"/>
      <c r="J181" s="154"/>
      <c r="K181" s="154"/>
      <c r="L181" s="155"/>
      <c r="M181" s="156"/>
      <c r="N181" s="155"/>
      <c r="O181" s="155"/>
      <c r="P181" s="155"/>
      <c r="Q181" s="157"/>
      <c r="R181" s="154"/>
      <c r="S181" s="154"/>
    </row>
    <row r="182">
      <c r="A182" s="154"/>
      <c r="B182" s="154"/>
      <c r="C182" s="155"/>
      <c r="D182" s="156"/>
      <c r="E182" s="155"/>
      <c r="F182" s="155"/>
      <c r="G182" s="155"/>
      <c r="H182" s="157"/>
      <c r="I182" s="154"/>
      <c r="J182" s="154"/>
      <c r="K182" s="154"/>
      <c r="L182" s="155"/>
      <c r="M182" s="156"/>
      <c r="N182" s="155"/>
      <c r="O182" s="155"/>
      <c r="P182" s="155"/>
      <c r="Q182" s="157"/>
      <c r="R182" s="154"/>
      <c r="S182" s="154"/>
    </row>
    <row r="183">
      <c r="A183" s="154"/>
      <c r="B183" s="154"/>
      <c r="C183" s="155"/>
      <c r="D183" s="156"/>
      <c r="E183" s="155"/>
      <c r="F183" s="155"/>
      <c r="G183" s="155"/>
      <c r="H183" s="157"/>
      <c r="I183" s="154"/>
      <c r="J183" s="154"/>
      <c r="K183" s="154"/>
      <c r="L183" s="155"/>
      <c r="M183" s="156"/>
      <c r="N183" s="155"/>
      <c r="O183" s="155"/>
      <c r="P183" s="155"/>
      <c r="Q183" s="157"/>
      <c r="R183" s="154"/>
      <c r="S183" s="154"/>
    </row>
    <row r="184">
      <c r="A184" s="154"/>
      <c r="B184" s="154"/>
      <c r="C184" s="155"/>
      <c r="D184" s="156"/>
      <c r="E184" s="155"/>
      <c r="F184" s="155"/>
      <c r="G184" s="155"/>
      <c r="H184" s="157"/>
      <c r="I184" s="154"/>
      <c r="J184" s="154"/>
      <c r="K184" s="154"/>
      <c r="L184" s="155"/>
      <c r="M184" s="156"/>
      <c r="N184" s="155"/>
      <c r="O184" s="155"/>
      <c r="P184" s="155"/>
      <c r="Q184" s="157"/>
      <c r="R184" s="154"/>
      <c r="S184" s="154"/>
    </row>
    <row r="185">
      <c r="A185" s="154"/>
      <c r="B185" s="154"/>
      <c r="C185" s="155"/>
      <c r="D185" s="156"/>
      <c r="E185" s="155"/>
      <c r="F185" s="155"/>
      <c r="G185" s="155"/>
      <c r="H185" s="157"/>
      <c r="I185" s="154"/>
      <c r="J185" s="154"/>
      <c r="K185" s="154"/>
      <c r="L185" s="155"/>
      <c r="M185" s="156"/>
      <c r="N185" s="155"/>
      <c r="O185" s="155"/>
      <c r="P185" s="155"/>
      <c r="Q185" s="157"/>
      <c r="R185" s="154"/>
      <c r="S185" s="154"/>
    </row>
    <row r="186">
      <c r="A186" s="154"/>
      <c r="B186" s="154"/>
      <c r="C186" s="155"/>
      <c r="D186" s="156"/>
      <c r="E186" s="155"/>
      <c r="F186" s="155"/>
      <c r="G186" s="155"/>
      <c r="H186" s="157"/>
      <c r="I186" s="154"/>
      <c r="J186" s="154"/>
      <c r="K186" s="154"/>
      <c r="L186" s="155"/>
      <c r="M186" s="156"/>
      <c r="N186" s="155"/>
      <c r="O186" s="155"/>
      <c r="P186" s="155"/>
      <c r="Q186" s="157"/>
      <c r="R186" s="154"/>
      <c r="S186" s="154"/>
    </row>
    <row r="187">
      <c r="A187" s="154"/>
      <c r="B187" s="154"/>
      <c r="C187" s="155"/>
      <c r="D187" s="156"/>
      <c r="E187" s="155"/>
      <c r="F187" s="155"/>
      <c r="G187" s="155"/>
      <c r="H187" s="157"/>
      <c r="I187" s="154"/>
      <c r="J187" s="154"/>
      <c r="K187" s="154"/>
      <c r="L187" s="155"/>
      <c r="M187" s="156"/>
      <c r="N187" s="155"/>
      <c r="O187" s="155"/>
      <c r="P187" s="155"/>
      <c r="Q187" s="157"/>
      <c r="R187" s="154"/>
      <c r="S187" s="154"/>
    </row>
    <row r="188">
      <c r="A188" s="154"/>
      <c r="B188" s="154"/>
      <c r="C188" s="155"/>
      <c r="D188" s="156"/>
      <c r="E188" s="155"/>
      <c r="F188" s="155"/>
      <c r="G188" s="155"/>
      <c r="H188" s="157"/>
      <c r="I188" s="154"/>
      <c r="J188" s="154"/>
      <c r="K188" s="154"/>
      <c r="L188" s="155"/>
      <c r="M188" s="156"/>
      <c r="N188" s="155"/>
      <c r="O188" s="155"/>
      <c r="P188" s="155"/>
      <c r="Q188" s="157"/>
      <c r="R188" s="154"/>
      <c r="S188" s="154"/>
    </row>
    <row r="189">
      <c r="A189" s="154"/>
      <c r="B189" s="154"/>
      <c r="C189" s="155"/>
      <c r="D189" s="156"/>
      <c r="E189" s="155"/>
      <c r="F189" s="155"/>
      <c r="G189" s="155"/>
      <c r="H189" s="157"/>
      <c r="I189" s="154"/>
      <c r="J189" s="154"/>
      <c r="K189" s="154"/>
      <c r="L189" s="155"/>
      <c r="M189" s="156"/>
      <c r="N189" s="155"/>
      <c r="O189" s="155"/>
      <c r="P189" s="155"/>
      <c r="Q189" s="157"/>
      <c r="R189" s="154"/>
      <c r="S189" s="154"/>
    </row>
    <row r="190">
      <c r="A190" s="154"/>
      <c r="B190" s="154"/>
      <c r="C190" s="155"/>
      <c r="D190" s="156"/>
      <c r="E190" s="155"/>
      <c r="F190" s="155"/>
      <c r="G190" s="155"/>
      <c r="H190" s="157"/>
      <c r="I190" s="154"/>
      <c r="J190" s="154"/>
      <c r="K190" s="154"/>
      <c r="L190" s="155"/>
      <c r="M190" s="156"/>
      <c r="N190" s="155"/>
      <c r="O190" s="155"/>
      <c r="P190" s="155"/>
      <c r="Q190" s="157"/>
      <c r="R190" s="154"/>
      <c r="S190" s="154"/>
    </row>
    <row r="191">
      <c r="A191" s="154"/>
      <c r="B191" s="154"/>
      <c r="C191" s="155"/>
      <c r="D191" s="156"/>
      <c r="E191" s="155"/>
      <c r="F191" s="155"/>
      <c r="G191" s="155"/>
      <c r="H191" s="157"/>
      <c r="I191" s="154"/>
      <c r="J191" s="154"/>
      <c r="K191" s="154"/>
      <c r="L191" s="155"/>
      <c r="M191" s="156"/>
      <c r="N191" s="155"/>
      <c r="O191" s="155"/>
      <c r="P191" s="155"/>
      <c r="Q191" s="157"/>
      <c r="R191" s="154"/>
      <c r="S191" s="154"/>
    </row>
    <row r="192">
      <c r="A192" s="154"/>
      <c r="B192" s="154"/>
      <c r="C192" s="155"/>
      <c r="D192" s="156"/>
      <c r="E192" s="155"/>
      <c r="F192" s="155"/>
      <c r="G192" s="155"/>
      <c r="H192" s="157"/>
      <c r="I192" s="154"/>
      <c r="J192" s="154"/>
      <c r="K192" s="154"/>
      <c r="L192" s="155"/>
      <c r="M192" s="156"/>
      <c r="N192" s="155"/>
      <c r="O192" s="155"/>
      <c r="P192" s="155"/>
      <c r="Q192" s="157"/>
      <c r="R192" s="154"/>
      <c r="S192" s="154"/>
    </row>
    <row r="193">
      <c r="A193" s="154"/>
      <c r="B193" s="154"/>
      <c r="C193" s="155"/>
      <c r="D193" s="156"/>
      <c r="E193" s="155"/>
      <c r="F193" s="155"/>
      <c r="G193" s="155"/>
      <c r="H193" s="157"/>
      <c r="I193" s="154"/>
      <c r="J193" s="154"/>
      <c r="K193" s="154"/>
      <c r="L193" s="155"/>
      <c r="M193" s="156"/>
      <c r="N193" s="155"/>
      <c r="O193" s="155"/>
      <c r="P193" s="155"/>
      <c r="Q193" s="157"/>
      <c r="R193" s="154"/>
      <c r="S193" s="154"/>
    </row>
    <row r="194">
      <c r="A194" s="154"/>
      <c r="B194" s="154"/>
      <c r="C194" s="155"/>
      <c r="D194" s="156"/>
      <c r="E194" s="155"/>
      <c r="F194" s="155"/>
      <c r="G194" s="155"/>
      <c r="H194" s="157"/>
      <c r="I194" s="154"/>
      <c r="J194" s="154"/>
      <c r="K194" s="154"/>
      <c r="L194" s="155"/>
      <c r="M194" s="156"/>
      <c r="N194" s="155"/>
      <c r="O194" s="155"/>
      <c r="P194" s="155"/>
      <c r="Q194" s="157"/>
      <c r="R194" s="154"/>
      <c r="S194" s="154"/>
    </row>
    <row r="195">
      <c r="A195" s="154"/>
      <c r="B195" s="154"/>
      <c r="C195" s="155"/>
      <c r="D195" s="156"/>
      <c r="E195" s="155"/>
      <c r="F195" s="155"/>
      <c r="G195" s="155"/>
      <c r="H195" s="157"/>
      <c r="I195" s="154"/>
      <c r="J195" s="154"/>
      <c r="K195" s="154"/>
      <c r="L195" s="155"/>
      <c r="M195" s="156"/>
      <c r="N195" s="155"/>
      <c r="O195" s="155"/>
      <c r="P195" s="155"/>
      <c r="Q195" s="157"/>
      <c r="R195" s="154"/>
      <c r="S195" s="154"/>
    </row>
    <row r="196">
      <c r="A196" s="154"/>
      <c r="B196" s="154"/>
      <c r="C196" s="155"/>
      <c r="D196" s="156"/>
      <c r="E196" s="155"/>
      <c r="F196" s="155"/>
      <c r="G196" s="155"/>
      <c r="H196" s="157"/>
      <c r="I196" s="154"/>
      <c r="J196" s="154"/>
      <c r="K196" s="154"/>
      <c r="L196" s="155"/>
      <c r="M196" s="156"/>
      <c r="N196" s="155"/>
      <c r="O196" s="155"/>
      <c r="P196" s="155"/>
      <c r="Q196" s="157"/>
      <c r="R196" s="154"/>
      <c r="S196" s="154"/>
    </row>
    <row r="197">
      <c r="A197" s="154"/>
      <c r="B197" s="154"/>
      <c r="C197" s="155"/>
      <c r="D197" s="156"/>
      <c r="E197" s="155"/>
      <c r="F197" s="155"/>
      <c r="G197" s="155"/>
      <c r="H197" s="157"/>
      <c r="I197" s="154"/>
      <c r="J197" s="154"/>
      <c r="K197" s="154"/>
      <c r="L197" s="155"/>
      <c r="M197" s="156"/>
      <c r="N197" s="155"/>
      <c r="O197" s="155"/>
      <c r="P197" s="155"/>
      <c r="Q197" s="157"/>
      <c r="R197" s="154"/>
      <c r="S197" s="154"/>
    </row>
    <row r="198">
      <c r="A198" s="154"/>
      <c r="B198" s="154"/>
      <c r="C198" s="155"/>
      <c r="D198" s="156"/>
      <c r="E198" s="155"/>
      <c r="F198" s="155"/>
      <c r="G198" s="155"/>
      <c r="H198" s="157"/>
      <c r="I198" s="154"/>
      <c r="J198" s="154"/>
      <c r="K198" s="154"/>
      <c r="L198" s="155"/>
      <c r="M198" s="156"/>
      <c r="N198" s="155"/>
      <c r="O198" s="155"/>
      <c r="P198" s="155"/>
      <c r="Q198" s="157"/>
      <c r="R198" s="154"/>
      <c r="S198" s="154"/>
    </row>
    <row r="199">
      <c r="A199" s="154"/>
      <c r="B199" s="154"/>
      <c r="C199" s="155"/>
      <c r="D199" s="156"/>
      <c r="E199" s="155"/>
      <c r="F199" s="155"/>
      <c r="G199" s="155"/>
      <c r="H199" s="157"/>
      <c r="I199" s="154"/>
      <c r="J199" s="154"/>
      <c r="K199" s="154"/>
      <c r="L199" s="155"/>
      <c r="M199" s="156"/>
      <c r="N199" s="155"/>
      <c r="O199" s="155"/>
      <c r="P199" s="155"/>
      <c r="Q199" s="157"/>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row r="591">
      <c r="A591" s="154"/>
      <c r="B591" s="154"/>
      <c r="C591" s="155"/>
      <c r="D591" s="156"/>
      <c r="E591" s="155"/>
      <c r="F591" s="155"/>
      <c r="G591" s="155"/>
      <c r="H591" s="157"/>
      <c r="I591" s="154"/>
      <c r="J591" s="154"/>
      <c r="K591" s="154"/>
      <c r="L591" s="155"/>
      <c r="M591" s="156"/>
      <c r="N591" s="155"/>
      <c r="O591" s="155"/>
      <c r="P591" s="155"/>
      <c r="Q591" s="157"/>
      <c r="R591" s="154"/>
      <c r="S591" s="154"/>
    </row>
  </sheetData>
  <mergeCells count="6">
    <mergeCell ref="C1:H1"/>
    <mergeCell ref="L1:Q1"/>
    <mergeCell ref="C2:H2"/>
    <mergeCell ref="L2:Q2"/>
    <mergeCell ref="C3:H3"/>
    <mergeCell ref="L3:Q3"/>
  </mergeCells>
  <dataValidations>
    <dataValidation type="list" allowBlank="1" showErrorMessage="1" sqref="A1:C1 I1:L1 R1:S1">
      <formula1>'All Competencies'!$A$3:$A591</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Q9"/>
    <hyperlink r:id="rId21" ref="D10"/>
    <hyperlink r:id="rId22" ref="H10"/>
    <hyperlink r:id="rId23" ref="M10"/>
    <hyperlink r:id="rId24" ref="Q10"/>
    <hyperlink r:id="rId25" ref="D11"/>
    <hyperlink r:id="rId26" ref="H11"/>
    <hyperlink r:id="rId27" ref="M11"/>
    <hyperlink r:id="rId28" ref="Q11"/>
    <hyperlink r:id="rId29" ref="D12"/>
    <hyperlink r:id="rId30" ref="M12"/>
    <hyperlink r:id="rId31" ref="Q12"/>
    <hyperlink r:id="rId32" ref="D13"/>
    <hyperlink r:id="rId33" ref="M13"/>
    <hyperlink r:id="rId34" ref="Q13"/>
    <hyperlink r:id="rId35" ref="D14"/>
    <hyperlink r:id="rId36" ref="M14"/>
    <hyperlink r:id="rId37" ref="Q14"/>
    <hyperlink r:id="rId38" ref="D15"/>
    <hyperlink r:id="rId39" ref="M15"/>
    <hyperlink r:id="rId40" ref="Q15"/>
    <hyperlink r:id="rId41" ref="D16"/>
    <hyperlink r:id="rId42" ref="M16"/>
    <hyperlink r:id="rId43" ref="Q16"/>
    <hyperlink r:id="rId44" ref="D17"/>
    <hyperlink r:id="rId45" ref="M17"/>
    <hyperlink r:id="rId46" ref="D18"/>
    <hyperlink r:id="rId47" ref="M18"/>
    <hyperlink r:id="rId48" ref="D19"/>
    <hyperlink r:id="rId49" ref="M19"/>
    <hyperlink r:id="rId50" ref="D20"/>
    <hyperlink r:id="rId51" ref="M20"/>
    <hyperlink r:id="rId52" ref="D21"/>
    <hyperlink r:id="rId53" ref="M21"/>
    <hyperlink r:id="rId54" ref="D22"/>
    <hyperlink r:id="rId55" ref="M22"/>
    <hyperlink r:id="rId56" ref="D23"/>
    <hyperlink r:id="rId57" ref="M23"/>
    <hyperlink r:id="rId58" ref="D24"/>
    <hyperlink r:id="rId59" ref="M24"/>
    <hyperlink r:id="rId60" ref="D25"/>
    <hyperlink r:id="rId61" ref="M25"/>
    <hyperlink r:id="rId62" ref="D26"/>
    <hyperlink r:id="rId63" ref="M26"/>
    <hyperlink r:id="rId64" ref="D27"/>
    <hyperlink r:id="rId65" ref="M27"/>
    <hyperlink r:id="rId66" ref="D28"/>
    <hyperlink r:id="rId67" ref="M28"/>
    <hyperlink r:id="rId68" ref="D29"/>
    <hyperlink r:id="rId69" ref="M29"/>
    <hyperlink r:id="rId70" ref="D30"/>
    <hyperlink r:id="rId71" ref="M30"/>
    <hyperlink r:id="rId72" ref="D31"/>
    <hyperlink r:id="rId73" ref="M31"/>
    <hyperlink r:id="rId74" ref="D32"/>
    <hyperlink r:id="rId75" ref="M32"/>
    <hyperlink r:id="rId76" ref="D33"/>
    <hyperlink r:id="rId77" ref="M33"/>
    <hyperlink r:id="rId78" ref="D34"/>
    <hyperlink r:id="rId79" ref="M34"/>
    <hyperlink r:id="rId80" ref="D35"/>
    <hyperlink r:id="rId81" ref="M35"/>
    <hyperlink r:id="rId82" ref="D36"/>
    <hyperlink r:id="rId83" ref="M36"/>
    <hyperlink r:id="rId84" ref="D37"/>
    <hyperlink r:id="rId85" ref="M37"/>
    <hyperlink r:id="rId86" ref="D38"/>
    <hyperlink r:id="rId87" ref="M38"/>
    <hyperlink r:id="rId88" ref="D39"/>
    <hyperlink r:id="rId89" ref="M39"/>
    <hyperlink r:id="rId90" ref="D40"/>
    <hyperlink r:id="rId91" ref="M40"/>
    <hyperlink r:id="rId92" ref="D41"/>
    <hyperlink r:id="rId93" ref="M41"/>
    <hyperlink r:id="rId94" ref="D42"/>
    <hyperlink r:id="rId95" ref="M42"/>
    <hyperlink r:id="rId96" ref="M43"/>
    <hyperlink r:id="rId97" ref="M44"/>
    <hyperlink r:id="rId98" ref="M45"/>
    <hyperlink r:id="rId99" ref="M46"/>
    <hyperlink r:id="rId100" ref="M47"/>
    <hyperlink r:id="rId101" ref="M48"/>
    <hyperlink r:id="rId102" ref="M49"/>
    <hyperlink r:id="rId103" ref="M50"/>
    <hyperlink r:id="rId104" ref="M51"/>
    <hyperlink r:id="rId105" ref="M52"/>
    <hyperlink r:id="rId106" ref="M53"/>
    <hyperlink r:id="rId107" ref="M54"/>
    <hyperlink r:id="rId108" ref="M55"/>
    <hyperlink r:id="rId109" ref="M56"/>
    <hyperlink r:id="rId110" ref="M57"/>
    <hyperlink r:id="rId111" ref="M58"/>
    <hyperlink r:id="rId112" ref="M59"/>
    <hyperlink r:id="rId113" ref="M60"/>
    <hyperlink r:id="rId114" ref="M61"/>
    <hyperlink r:id="rId115" ref="M62"/>
    <hyperlink r:id="rId116" ref="M63"/>
    <hyperlink r:id="rId117" ref="M64"/>
    <hyperlink r:id="rId118" ref="M65"/>
    <hyperlink r:id="rId119" ref="M66"/>
    <hyperlink r:id="rId120" ref="M67"/>
    <hyperlink r:id="rId121" ref="M68"/>
    <hyperlink r:id="rId122" ref="M69"/>
    <hyperlink r:id="rId123" ref="M70"/>
    <hyperlink r:id="rId124" ref="M71"/>
    <hyperlink r:id="rId125" ref="M72"/>
    <hyperlink r:id="rId126" ref="M73"/>
    <hyperlink r:id="rId127" ref="M74"/>
    <hyperlink r:id="rId128" ref="M75"/>
    <hyperlink r:id="rId129" ref="M76"/>
    <hyperlink r:id="rId130" ref="M77"/>
    <hyperlink r:id="rId131" ref="M78"/>
    <hyperlink r:id="rId132" ref="M79"/>
    <hyperlink r:id="rId133" ref="M80"/>
    <hyperlink r:id="rId134" ref="M81"/>
    <hyperlink r:id="rId135" ref="M82"/>
    <hyperlink r:id="rId136" ref="M83"/>
    <hyperlink r:id="rId137" ref="M84"/>
    <hyperlink r:id="rId138" ref="M85"/>
    <hyperlink r:id="rId139" ref="M86"/>
    <hyperlink r:id="rId140" ref="M87"/>
    <hyperlink r:id="rId141" ref="M88"/>
    <hyperlink r:id="rId142" ref="M89"/>
    <hyperlink r:id="rId143" ref="M90"/>
    <hyperlink r:id="rId144" ref="M91"/>
    <hyperlink r:id="rId145" ref="M92"/>
    <hyperlink r:id="rId146" ref="M93"/>
    <hyperlink r:id="rId147" ref="M94"/>
    <hyperlink r:id="rId148" ref="M95"/>
    <hyperlink r:id="rId149" ref="M96"/>
    <hyperlink r:id="rId150" ref="M97"/>
    <hyperlink r:id="rId151" ref="M98"/>
    <hyperlink r:id="rId152" ref="M99"/>
    <hyperlink r:id="rId153" ref="M100"/>
    <hyperlink r:id="rId154" ref="M101"/>
    <hyperlink r:id="rId155" ref="M102"/>
    <hyperlink r:id="rId156" ref="M103"/>
    <hyperlink r:id="rId157" ref="M104"/>
    <hyperlink r:id="rId158" ref="M105"/>
    <hyperlink r:id="rId159" ref="M106"/>
    <hyperlink r:id="rId160" ref="M107"/>
    <hyperlink r:id="rId161" ref="M108"/>
    <hyperlink r:id="rId162" ref="M109"/>
    <hyperlink r:id="rId163" ref="M110"/>
    <hyperlink r:id="rId164" ref="M111"/>
    <hyperlink r:id="rId165" ref="M112"/>
    <hyperlink r:id="rId166" ref="M113"/>
    <hyperlink r:id="rId167" ref="M114"/>
    <hyperlink r:id="rId168" ref="M115"/>
    <hyperlink r:id="rId169" ref="M116"/>
    <hyperlink r:id="rId170" ref="M117"/>
    <hyperlink r:id="rId171" ref="M118"/>
    <hyperlink r:id="rId172" ref="M119"/>
    <hyperlink r:id="rId173" ref="M120"/>
    <hyperlink r:id="rId174" ref="M121"/>
    <hyperlink r:id="rId175" ref="M122"/>
  </hyperlinks>
  <drawing r:id="rId176"/>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18.88"/>
    <col customWidth="1" min="6" max="6" width="22.38"/>
    <col customWidth="1" min="7" max="7" width="11.38"/>
    <col customWidth="1" min="8" max="8" width="43.88"/>
    <col customWidth="1" min="9" max="11" width="0.63"/>
    <col customWidth="1" min="12" max="12" width="11.88"/>
    <col customWidth="1" min="13" max="13" width="48.0"/>
    <col customWidth="1" min="14" max="14" width="22.38"/>
    <col customWidth="1" min="15" max="15" width="25.13"/>
    <col customWidth="1" min="16" max="16" width="23.38"/>
    <col customWidth="1" min="17" max="17" width="32.88"/>
    <col customWidth="1" min="18" max="19" width="0.63"/>
  </cols>
  <sheetData>
    <row r="1" ht="27.75" customHeight="1" outlineLevel="1">
      <c r="A1" s="130"/>
      <c r="B1" s="130"/>
      <c r="C1" s="131" t="s">
        <v>1808</v>
      </c>
      <c r="I1" s="130"/>
      <c r="J1" s="130"/>
      <c r="K1" s="130"/>
      <c r="L1" s="131" t="s">
        <v>1834</v>
      </c>
      <c r="R1" s="130"/>
      <c r="S1" s="130"/>
    </row>
    <row r="2" outlineLevel="1">
      <c r="A2" s="132"/>
      <c r="B2" s="132"/>
      <c r="C2" s="133" t="s">
        <v>1986</v>
      </c>
      <c r="I2" s="132"/>
      <c r="J2" s="132"/>
      <c r="K2" s="132"/>
      <c r="L2" s="133" t="s">
        <v>1986</v>
      </c>
      <c r="R2" s="132"/>
      <c r="S2" s="132"/>
    </row>
    <row r="3" outlineLevel="1">
      <c r="A3" s="134"/>
      <c r="B3" s="134"/>
      <c r="C3" s="135" t="str">
        <f>IFERROR(__xludf.DUMMYFUNCTION("IFERROR(UNIQUE(FILTER('Competency Learning Paths'!N:N,'Competency Learning Paths'!A:A= C1)))"),"Writing, Written Communication, Written Expression, Writing Proficiency, Writing Skills, Technical Writing")</f>
        <v>Writing, Written Communication, Written Expression, Writing Proficiency, Writing Skills, Technical Writing</v>
      </c>
      <c r="I3" s="134"/>
      <c r="J3" s="134"/>
      <c r="K3" s="134"/>
      <c r="L3" s="135" t="str">
        <f>IFERROR(__xludf.DUMMYFUNCTION("IFERROR(UNIQUE(FILTER('Competency Learning Paths'!N:N,'Competency Learning Paths'!A:A= L1)))"),"Emotional Intelligence, set &amp; keep boundaries, protect your energy, be aware of your stressors, develop mindfulness, stay focus and flexible, improve your work-life balance")</f>
        <v>Emotional Intelligence, set &amp; keep boundaries, protect your energy, be aware of your stressors, develop mindfulness, stay focus and flexible, improve your work-life balance</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IFERROR(__xludf.DUMMYFUNCTION("""COMPUTED_VALUE"""),721925.0)</f>
        <v>721925</v>
      </c>
      <c r="D5" s="142" t="str">
        <f>IFERROR(__xludf.DUMMYFUNCTION("""COMPUTED_VALUE"""),"Editing Mastery: How to Edit Writing to Perfection")</f>
        <v>Editing Mastery: How to Edit Writing to Perfection</v>
      </c>
      <c r="E5" s="141" t="str">
        <f>IFERROR(__xludf.DUMMYFUNCTION("""COMPUTED_VALUE"""),"General")</f>
        <v>General</v>
      </c>
      <c r="F5" s="141" t="str">
        <f>IFERROR(__xludf.DUMMYFUNCTION("""COMPUTED_VALUE"""),"Advanced")</f>
        <v>Advanced</v>
      </c>
      <c r="G5" s="143">
        <f>IFERROR(__xludf.DUMMYFUNCTION("""COMPUTED_VALUE"""),0.2010185185185185)</f>
        <v>0.2010185185</v>
      </c>
      <c r="H5" s="144" t="str">
        <f>IFERROR(__xludf.DUMMYFUNCTION("""COMPUTED_VALUE"""),"Become a Content Strategist")</f>
        <v>Become a Content Strategist</v>
      </c>
      <c r="I5" s="140"/>
      <c r="J5" s="140"/>
      <c r="K5" s="140"/>
      <c r="L5" s="141">
        <f>IFERROR(__xludf.DUMMYFUNCTION("""COMPUTED_VALUE"""),713374.0)</f>
        <v>713374</v>
      </c>
      <c r="M5" s="145" t="str">
        <f>IFERROR(__xludf.DUMMYFUNCTION("""COMPUTED_VALUE"""),"Balancing Multiple Roles as a Leader")</f>
        <v>Balancing Multiple Roles as a Leader</v>
      </c>
      <c r="N5" s="141" t="str">
        <f>IFERROR(__xludf.DUMMYFUNCTION("""COMPUTED_VALUE"""),"Senior Manager")</f>
        <v>Senior Manager</v>
      </c>
      <c r="O5" s="141" t="str">
        <f>IFERROR(__xludf.DUMMYFUNCTION("""COMPUTED_VALUE"""),"Intermediate")</f>
        <v>Intermediate</v>
      </c>
      <c r="P5" s="146">
        <f>IFERROR(__xludf.DUMMYFUNCTION("""COMPUTED_VALUE"""),0.025671296296296296)</f>
        <v>0.0256712963</v>
      </c>
      <c r="Q5" s="144" t="str">
        <f>IFERROR(__xludf.DUMMYFUNCTION("""COMPUTED_VALUE"""),"Manage Change and Develop Your Adaptability Skills")</f>
        <v>Manage Change and Develop Your Adaptability Skills</v>
      </c>
      <c r="R5" s="140"/>
      <c r="S5" s="140"/>
    </row>
    <row r="6">
      <c r="A6" s="140"/>
      <c r="B6" s="140"/>
      <c r="C6" s="147">
        <f>IFERROR(__xludf.DUMMYFUNCTION("""COMPUTED_VALUE"""),699320.0)</f>
        <v>699320</v>
      </c>
      <c r="D6" s="148" t="str">
        <f>IFERROR(__xludf.DUMMYFUNCTION("""COMPUTED_VALUE"""),"Writing Case Studies")</f>
        <v>Writing Case Studies</v>
      </c>
      <c r="E6" s="147" t="str">
        <f>IFERROR(__xludf.DUMMYFUNCTION("""COMPUTED_VALUE"""),"General")</f>
        <v>General</v>
      </c>
      <c r="F6" s="141" t="str">
        <f>IFERROR(__xludf.DUMMYFUNCTION("""COMPUTED_VALUE"""),"Beginner")</f>
        <v>Beginner</v>
      </c>
      <c r="G6" s="143">
        <f>IFERROR(__xludf.DUMMYFUNCTION("""COMPUTED_VALUE"""),0.02634259259259259)</f>
        <v>0.02634259259</v>
      </c>
      <c r="H6" s="149" t="str">
        <f>IFERROR(__xludf.DUMMYFUNCTION("""COMPUTED_VALUE"""),"Develop Your Writing Skills ")</f>
        <v>Develop Your Writing Skills </v>
      </c>
      <c r="I6" s="140"/>
      <c r="J6" s="140"/>
      <c r="K6" s="140"/>
      <c r="L6" s="147">
        <f>IFERROR(__xludf.DUMMYFUNCTION("""COMPUTED_VALUE"""),624208.0)</f>
        <v>624208</v>
      </c>
      <c r="M6" s="150" t="str">
        <f>IFERROR(__xludf.DUMMYFUNCTION("""COMPUTED_VALUE"""),"Creating a Positive and Healthy Work Environment")</f>
        <v>Creating a Positive and Healthy Work Environment</v>
      </c>
      <c r="N6" s="147" t="str">
        <f>IFERROR(__xludf.DUMMYFUNCTION("""COMPUTED_VALUE"""),"Senior Manager")</f>
        <v>Senior Manager</v>
      </c>
      <c r="O6" s="141" t="str">
        <f>IFERROR(__xludf.DUMMYFUNCTION("""COMPUTED_VALUE"""),"Advanced")</f>
        <v>Advanced</v>
      </c>
      <c r="P6" s="146">
        <f>IFERROR(__xludf.DUMMYFUNCTION("""COMPUTED_VALUE"""),0.039907407407407405)</f>
        <v>0.03990740741</v>
      </c>
      <c r="Q6" s="149" t="str">
        <f>IFERROR(__xludf.DUMMYFUNCTION("""COMPUTED_VALUE"""),"Remote Working: Setting Yourself and Your Teams Up for Success")</f>
        <v>Remote Working: Setting Yourself and Your Teams Up for Success</v>
      </c>
      <c r="R6" s="140"/>
      <c r="S6" s="140"/>
    </row>
    <row r="7">
      <c r="A7" s="140"/>
      <c r="B7" s="140"/>
      <c r="C7" s="147">
        <f>IFERROR(__xludf.DUMMYFUNCTION("""COMPUTED_VALUE"""),699319.0)</f>
        <v>699319</v>
      </c>
      <c r="D7" s="148" t="str">
        <f>IFERROR(__xludf.DUMMYFUNCTION("""COMPUTED_VALUE"""),"Writing White Papers")</f>
        <v>Writing White Papers</v>
      </c>
      <c r="E7" s="147" t="str">
        <f>IFERROR(__xludf.DUMMYFUNCTION("""COMPUTED_VALUE"""),"General")</f>
        <v>General</v>
      </c>
      <c r="F7" s="141" t="str">
        <f>IFERROR(__xludf.DUMMYFUNCTION("""COMPUTED_VALUE"""),"Beginner")</f>
        <v>Beginner</v>
      </c>
      <c r="G7" s="143">
        <f>IFERROR(__xludf.DUMMYFUNCTION("""COMPUTED_VALUE"""),0.023449074074074074)</f>
        <v>0.02344907407</v>
      </c>
      <c r="H7" s="151"/>
      <c r="I7" s="140"/>
      <c r="J7" s="140"/>
      <c r="K7" s="140"/>
      <c r="L7" s="147">
        <f>IFERROR(__xludf.DUMMYFUNCTION("""COMPUTED_VALUE"""),2825404.0)</f>
        <v>2825404</v>
      </c>
      <c r="M7" s="150" t="str">
        <f>IFERROR(__xludf.DUMMYFUNCTION("""COMPUTED_VALUE"""),"Leading with Fearless Mindfulness")</f>
        <v>Leading with Fearless Mindfulness</v>
      </c>
      <c r="N7" s="147" t="str">
        <f>IFERROR(__xludf.DUMMYFUNCTION("""COMPUTED_VALUE"""),"Manager")</f>
        <v>Manager</v>
      </c>
      <c r="O7" s="141" t="str">
        <f>IFERROR(__xludf.DUMMYFUNCTION("""COMPUTED_VALUE"""),"Beginner")</f>
        <v>Beginner</v>
      </c>
      <c r="P7" s="146">
        <f>IFERROR(__xludf.DUMMYFUNCTION("""COMPUTED_VALUE"""),0.036863425925925924)</f>
        <v>0.03686342593</v>
      </c>
      <c r="Q7" s="149" t="str">
        <f>IFERROR(__xludf.DUMMYFUNCTION("""COMPUTED_VALUE"""),"Staying Positive and Productive during Uncertainty")</f>
        <v>Staying Positive and Productive during Uncertainty</v>
      </c>
      <c r="R7" s="140"/>
      <c r="S7" s="140"/>
    </row>
    <row r="8">
      <c r="A8" s="140"/>
      <c r="B8" s="140"/>
      <c r="C8" s="147">
        <f>IFERROR(__xludf.DUMMYFUNCTION("""COMPUTED_VALUE"""),2811710.0)</f>
        <v>2811710</v>
      </c>
      <c r="D8" s="148" t="str">
        <f>IFERROR(__xludf.DUMMYFUNCTION("""COMPUTED_VALUE"""),"Grammar Girl’s Quick and Dirty Tips for Better Writing")</f>
        <v>Grammar Girl’s Quick and Dirty Tips for Better Writing</v>
      </c>
      <c r="E8" s="147" t="str">
        <f>IFERROR(__xludf.DUMMYFUNCTION("""COMPUTED_VALUE"""),"General")</f>
        <v>General</v>
      </c>
      <c r="F8" s="141" t="str">
        <f>IFERROR(__xludf.DUMMYFUNCTION("""COMPUTED_VALUE"""),"Beginner")</f>
        <v>Beginner</v>
      </c>
      <c r="G8" s="143">
        <f>IFERROR(__xludf.DUMMYFUNCTION("""COMPUTED_VALUE"""),0.029097222222222222)</f>
        <v>0.02909722222</v>
      </c>
      <c r="H8" s="151"/>
      <c r="I8" s="140"/>
      <c r="J8" s="140"/>
      <c r="K8" s="140"/>
      <c r="L8" s="147">
        <f>IFERROR(__xludf.DUMMYFUNCTION("""COMPUTED_VALUE"""),2315934.0)</f>
        <v>2315934</v>
      </c>
      <c r="M8" s="150" t="str">
        <f>IFERROR(__xludf.DUMMYFUNCTION("""COMPUTED_VALUE"""),"Supporting a Grieving Employee: A Manager's Guide")</f>
        <v>Supporting a Grieving Employee: A Manager's Guide</v>
      </c>
      <c r="N8" s="147" t="str">
        <f>IFERROR(__xludf.DUMMYFUNCTION("""COMPUTED_VALUE"""),"Manager")</f>
        <v>Manager</v>
      </c>
      <c r="O8" s="141" t="str">
        <f>IFERROR(__xludf.DUMMYFUNCTION("""COMPUTED_VALUE"""),"Beginner + Intermediate")</f>
        <v>Beginner + Intermediate</v>
      </c>
      <c r="P8" s="146">
        <f>IFERROR(__xludf.DUMMYFUNCTION("""COMPUTED_VALUE"""),0.019131944444444444)</f>
        <v>0.01913194444</v>
      </c>
      <c r="Q8" s="149" t="str">
        <f>IFERROR(__xludf.DUMMYFUNCTION("""COMPUTED_VALUE"""),"Support your Mental Health During Challenging Times")</f>
        <v>Support your Mental Health During Challenging Times</v>
      </c>
      <c r="R8" s="140"/>
      <c r="S8" s="140"/>
    </row>
    <row r="9" ht="33.75" customHeight="1">
      <c r="A9" s="140"/>
      <c r="B9" s="140"/>
      <c r="C9" s="147">
        <f>IFERROR(__xludf.DUMMYFUNCTION("""COMPUTED_VALUE"""),2819138.0)</f>
        <v>2819138</v>
      </c>
      <c r="D9" s="148" t="str">
        <f>IFERROR(__xludf.DUMMYFUNCTION("""COMPUTED_VALUE"""),"Tips for Better Business Writing")</f>
        <v>Tips for Better Business Writing</v>
      </c>
      <c r="E9" s="147" t="str">
        <f>IFERROR(__xludf.DUMMYFUNCTION("""COMPUTED_VALUE"""),"General")</f>
        <v>General</v>
      </c>
      <c r="F9" s="141" t="str">
        <f>IFERROR(__xludf.DUMMYFUNCTION("""COMPUTED_VALUE"""),"Beginner")</f>
        <v>Beginner</v>
      </c>
      <c r="G9" s="143">
        <f>IFERROR(__xludf.DUMMYFUNCTION("""COMPUTED_VALUE"""),0.01945601851851852)</f>
        <v>0.01945601852</v>
      </c>
      <c r="H9" s="151"/>
      <c r="I9" s="140"/>
      <c r="J9" s="140"/>
      <c r="K9" s="140"/>
      <c r="L9" s="147">
        <f>IFERROR(__xludf.DUMMYFUNCTION("""COMPUTED_VALUE"""),5015874.0)</f>
        <v>5015874</v>
      </c>
      <c r="M9" s="148" t="str">
        <f>IFERROR(__xludf.DUMMYFUNCTION("""COMPUTED_VALUE"""),"The Culture Code (Blinkist Summary)")</f>
        <v>The Culture Code (Blinkist Summary)</v>
      </c>
      <c r="N9" s="147" t="str">
        <f>IFERROR(__xludf.DUMMYFUNCTION("""COMPUTED_VALUE"""),"Manager")</f>
        <v>Manager</v>
      </c>
      <c r="O9" s="141" t="str">
        <f>IFERROR(__xludf.DUMMYFUNCTION("""COMPUTED_VALUE"""),"Intermediate")</f>
        <v>Intermediate</v>
      </c>
      <c r="P9" s="143">
        <f>IFERROR(__xludf.DUMMYFUNCTION("""COMPUTED_VALUE"""),0.014363425925925925)</f>
        <v>0.01436342593</v>
      </c>
      <c r="Q9" s="149" t="str">
        <f>IFERROR(__xludf.DUMMYFUNCTION("""COMPUTED_VALUE"""),"Supporting Your Well-Being during Times of Change and Uncertainty")</f>
        <v>Supporting Your Well-Being during Times of Change and Uncertainty</v>
      </c>
      <c r="R9" s="140"/>
      <c r="S9" s="140"/>
    </row>
    <row r="10" ht="33.75" customHeight="1">
      <c r="A10" s="140"/>
      <c r="B10" s="140"/>
      <c r="C10" s="147">
        <f>IFERROR(__xludf.DUMMYFUNCTION("""COMPUTED_VALUE"""),2819187.0)</f>
        <v>2819187</v>
      </c>
      <c r="D10" s="148" t="str">
        <f>IFERROR(__xludf.DUMMYFUNCTION("""COMPUTED_VALUE"""),"Writing a Marketing Plan")</f>
        <v>Writing a Marketing Plan</v>
      </c>
      <c r="E10" s="147" t="str">
        <f>IFERROR(__xludf.DUMMYFUNCTION("""COMPUTED_VALUE"""),"General")</f>
        <v>General</v>
      </c>
      <c r="F10" s="141" t="str">
        <f>IFERROR(__xludf.DUMMYFUNCTION("""COMPUTED_VALUE"""),"Beginner")</f>
        <v>Beginner</v>
      </c>
      <c r="G10" s="143">
        <f>IFERROR(__xludf.DUMMYFUNCTION("""COMPUTED_VALUE"""),0.02642361111111111)</f>
        <v>0.02642361111</v>
      </c>
      <c r="H10" s="152"/>
      <c r="I10" s="140"/>
      <c r="J10" s="140"/>
      <c r="K10" s="140"/>
      <c r="L10" s="147">
        <f>IFERROR(__xludf.DUMMYFUNCTION("""COMPUTED_VALUE"""),5015879.0)</f>
        <v>5015879</v>
      </c>
      <c r="M10" s="148" t="str">
        <f>IFERROR(__xludf.DUMMYFUNCTION("""COMPUTED_VALUE"""),"How to Be a Positive Leader (Blinkist Summary)")</f>
        <v>How to Be a Positive Leader (Blinkist Summary)</v>
      </c>
      <c r="N10" s="147" t="str">
        <f>IFERROR(__xludf.DUMMYFUNCTION("""COMPUTED_VALUE"""),"Manager")</f>
        <v>Manager</v>
      </c>
      <c r="O10" s="141" t="str">
        <f>IFERROR(__xludf.DUMMYFUNCTION("""COMPUTED_VALUE"""),"Intermediate")</f>
        <v>Intermediate</v>
      </c>
      <c r="P10" s="143">
        <f>IFERROR(__xludf.DUMMYFUNCTION("""COMPUTED_VALUE"""),0.014861111111111111)</f>
        <v>0.01486111111</v>
      </c>
      <c r="Q10" s="158" t="str">
        <f>IFERROR(__xludf.DUMMYFUNCTION("""COMPUTED_VALUE"""),"Developing Resilience and Grit")</f>
        <v>Developing Resilience and Grit</v>
      </c>
      <c r="R10" s="140"/>
      <c r="S10" s="140"/>
    </row>
    <row r="11" ht="33.75" customHeight="1">
      <c r="A11" s="140"/>
      <c r="B11" s="140"/>
      <c r="C11" s="147">
        <f>IFERROR(__xludf.DUMMYFUNCTION("""COMPUTED_VALUE"""),2876264.0)</f>
        <v>2876264</v>
      </c>
      <c r="D11" s="148" t="str">
        <f>IFERROR(__xludf.DUMMYFUNCTION("""COMPUTED_VALUE"""),"Writing Emails People Want to Read")</f>
        <v>Writing Emails People Want to Read</v>
      </c>
      <c r="E11" s="147" t="str">
        <f>IFERROR(__xludf.DUMMYFUNCTION("""COMPUTED_VALUE"""),"General")</f>
        <v>General</v>
      </c>
      <c r="F11" s="141" t="str">
        <f>IFERROR(__xludf.DUMMYFUNCTION("""COMPUTED_VALUE"""),"Beginner")</f>
        <v>Beginner</v>
      </c>
      <c r="G11" s="143">
        <f>IFERROR(__xludf.DUMMYFUNCTION("""COMPUTED_VALUE"""),0.040219907407407406)</f>
        <v>0.04021990741</v>
      </c>
      <c r="H11" s="151"/>
      <c r="I11" s="140"/>
      <c r="J11" s="140"/>
      <c r="K11" s="140"/>
      <c r="L11" s="147">
        <f>IFERROR(__xludf.DUMMYFUNCTION("""COMPUTED_VALUE"""),2875378.0)</f>
        <v>2875378</v>
      </c>
      <c r="M11" s="148" t="str">
        <f>IFERROR(__xludf.DUMMYFUNCTION("""COMPUTED_VALUE"""),"How to Support Your Employees' Well-Being")</f>
        <v>How to Support Your Employees' Well-Being</v>
      </c>
      <c r="N11" s="147" t="str">
        <f>IFERROR(__xludf.DUMMYFUNCTION("""COMPUTED_VALUE"""),"Manager")</f>
        <v>Manager</v>
      </c>
      <c r="O11" s="141" t="str">
        <f>IFERROR(__xludf.DUMMYFUNCTION("""COMPUTED_VALUE"""),"Intermediate")</f>
        <v>Intermediate</v>
      </c>
      <c r="P11" s="143">
        <f>IFERROR(__xludf.DUMMYFUNCTION("""COMPUTED_VALUE"""),0.024212962962962964)</f>
        <v>0.02421296296</v>
      </c>
      <c r="Q11" s="151"/>
      <c r="R11" s="140"/>
      <c r="S11" s="140"/>
    </row>
    <row r="12" ht="33.75" customHeight="1">
      <c r="A12" s="140"/>
      <c r="B12" s="140"/>
      <c r="C12" s="147">
        <f>IFERROR(__xludf.DUMMYFUNCTION("""COMPUTED_VALUE"""),3011515.0)</f>
        <v>3011515</v>
      </c>
      <c r="D12" s="148" t="str">
        <f>IFERROR(__xludf.DUMMYFUNCTION("""COMPUTED_VALUE"""),"Is There A Book In You? Learn to Create Your Own Masterpiece")</f>
        <v>Is There A Book In You? Learn to Create Your Own Masterpiece</v>
      </c>
      <c r="E12" s="147" t="str">
        <f>IFERROR(__xludf.DUMMYFUNCTION("""COMPUTED_VALUE"""),"General")</f>
        <v>General</v>
      </c>
      <c r="F12" s="141" t="str">
        <f>IFERROR(__xludf.DUMMYFUNCTION("""COMPUTED_VALUE"""),"Beginner")</f>
        <v>Beginner</v>
      </c>
      <c r="G12" s="143">
        <f>IFERROR(__xludf.DUMMYFUNCTION("""COMPUTED_VALUE"""),0.04082175925925926)</f>
        <v>0.04082175926</v>
      </c>
      <c r="H12" s="151"/>
      <c r="I12" s="140"/>
      <c r="J12" s="140"/>
      <c r="K12" s="140"/>
      <c r="L12" s="147">
        <f>IFERROR(__xludf.DUMMYFUNCTION("""COMPUTED_VALUE"""),2886206.0)</f>
        <v>2886206</v>
      </c>
      <c r="M12" s="148" t="str">
        <f>IFERROR(__xludf.DUMMYFUNCTION("""COMPUTED_VALUE"""),"Managing Your Well-Being as a Leader")</f>
        <v>Managing Your Well-Being as a Leader</v>
      </c>
      <c r="N12" s="147" t="str">
        <f>IFERROR(__xludf.DUMMYFUNCTION("""COMPUTED_VALUE"""),"Manager")</f>
        <v>Manager</v>
      </c>
      <c r="O12" s="141" t="str">
        <f>IFERROR(__xludf.DUMMYFUNCTION("""COMPUTED_VALUE"""),"Intermediate")</f>
        <v>Intermediate</v>
      </c>
      <c r="P12" s="143">
        <f>IFERROR(__xludf.DUMMYFUNCTION("""COMPUTED_VALUE"""),0.028738425925925924)</f>
        <v>0.02873842593</v>
      </c>
      <c r="Q12" s="151"/>
      <c r="R12" s="140"/>
      <c r="S12" s="140"/>
    </row>
    <row r="13" ht="33.75" customHeight="1">
      <c r="A13" s="140"/>
      <c r="B13" s="140"/>
      <c r="C13" s="147">
        <f>IFERROR(__xludf.DUMMYFUNCTION("""COMPUTED_VALUE"""),661747.0)</f>
        <v>661747</v>
      </c>
      <c r="D13" s="148" t="str">
        <f>IFERROR(__xludf.DUMMYFUNCTION("""COMPUTED_VALUE"""),"Technical Writing: Quick Start Guides")</f>
        <v>Technical Writing: Quick Start Guides</v>
      </c>
      <c r="E13" s="147" t="str">
        <f>IFERROR(__xludf.DUMMYFUNCTION("""COMPUTED_VALUE"""),"General")</f>
        <v>General</v>
      </c>
      <c r="F13" s="141" t="str">
        <f>IFERROR(__xludf.DUMMYFUNCTION("""COMPUTED_VALUE"""),"Beginner + Intermediate")</f>
        <v>Beginner + Intermediate</v>
      </c>
      <c r="G13" s="143">
        <f>IFERROR(__xludf.DUMMYFUNCTION("""COMPUTED_VALUE"""),0.04009259259259259)</f>
        <v>0.04009259259</v>
      </c>
      <c r="H13" s="152"/>
      <c r="I13" s="140"/>
      <c r="J13" s="140"/>
      <c r="K13" s="140"/>
      <c r="L13" s="147">
        <f>IFERROR(__xludf.DUMMYFUNCTION("""COMPUTED_VALUE"""),2893109.0)</f>
        <v>2893109</v>
      </c>
      <c r="M13" s="148" t="str">
        <f>IFERROR(__xludf.DUMMYFUNCTION("""COMPUTED_VALUE"""),"Leading with Empathy")</f>
        <v>Leading with Empathy</v>
      </c>
      <c r="N13" s="147" t="str">
        <f>IFERROR(__xludf.DUMMYFUNCTION("""COMPUTED_VALUE"""),"Manager")</f>
        <v>Manager</v>
      </c>
      <c r="O13" s="141" t="str">
        <f>IFERROR(__xludf.DUMMYFUNCTION("""COMPUTED_VALUE"""),"Intermediate")</f>
        <v>Intermediate</v>
      </c>
      <c r="P13" s="143">
        <f>IFERROR(__xludf.DUMMYFUNCTION("""COMPUTED_VALUE"""),0.02662037037037037)</f>
        <v>0.02662037037</v>
      </c>
      <c r="Q13" s="152"/>
      <c r="R13" s="140"/>
      <c r="S13" s="140"/>
    </row>
    <row r="14" ht="33.75" customHeight="1">
      <c r="A14" s="140"/>
      <c r="B14" s="140"/>
      <c r="C14" s="147">
        <f>IFERROR(__xludf.DUMMYFUNCTION("""COMPUTED_VALUE"""),2823292.0)</f>
        <v>2823292</v>
      </c>
      <c r="D14" s="148" t="str">
        <f>IFERROR(__xludf.DUMMYFUNCTION("""COMPUTED_VALUE"""),"Writing Articles")</f>
        <v>Writing Articles</v>
      </c>
      <c r="E14" s="147" t="str">
        <f>IFERROR(__xludf.DUMMYFUNCTION("""COMPUTED_VALUE"""),"General")</f>
        <v>General</v>
      </c>
      <c r="F14" s="141" t="str">
        <f>IFERROR(__xludf.DUMMYFUNCTION("""COMPUTED_VALUE"""),"General")</f>
        <v>General</v>
      </c>
      <c r="G14" s="143">
        <f>IFERROR(__xludf.DUMMYFUNCTION("""COMPUTED_VALUE"""),0.02045138888888889)</f>
        <v>0.02045138889</v>
      </c>
      <c r="H14" s="151"/>
      <c r="I14" s="140"/>
      <c r="J14" s="140"/>
      <c r="K14" s="140"/>
      <c r="L14" s="147">
        <f>IFERROR(__xludf.DUMMYFUNCTION("""COMPUTED_VALUE"""),2242044.0)</f>
        <v>2242044</v>
      </c>
      <c r="M14" s="148" t="str">
        <f>IFERROR(__xludf.DUMMYFUNCTION("""COMPUTED_VALUE"""),"The Leader’s Guide to Mindfulness (getAbstract Summary)")</f>
        <v>The Leader’s Guide to Mindfulness (getAbstract Summary)</v>
      </c>
      <c r="N14" s="147" t="str">
        <f>IFERROR(__xludf.DUMMYFUNCTION("""COMPUTED_VALUE"""),"Manager")</f>
        <v>Manager</v>
      </c>
      <c r="O14" s="141" t="str">
        <f>IFERROR(__xludf.DUMMYFUNCTION("""COMPUTED_VALUE"""),"General")</f>
        <v>General</v>
      </c>
      <c r="P14" s="143">
        <f>IFERROR(__xludf.DUMMYFUNCTION("""COMPUTED_VALUE"""),0.009097222222222222)</f>
        <v>0.009097222222</v>
      </c>
      <c r="Q14" s="151"/>
      <c r="R14" s="140"/>
      <c r="S14" s="140"/>
    </row>
    <row r="15" ht="33.75" customHeight="1">
      <c r="A15" s="140"/>
      <c r="B15" s="140"/>
      <c r="C15" s="147">
        <f>IFERROR(__xludf.DUMMYFUNCTION("""COMPUTED_VALUE"""),2254042.0)</f>
        <v>2254042</v>
      </c>
      <c r="D15" s="148" t="str">
        <f>IFERROR(__xludf.DUMMYFUNCTION("""COMPUTED_VALUE"""),"Writing a Tech Resume")</f>
        <v>Writing a Tech Resume</v>
      </c>
      <c r="E15" s="147" t="str">
        <f>IFERROR(__xludf.DUMMYFUNCTION("""COMPUTED_VALUE"""),"General")</f>
        <v>General</v>
      </c>
      <c r="F15" s="141" t="str">
        <f>IFERROR(__xludf.DUMMYFUNCTION("""COMPUTED_VALUE"""),"General")</f>
        <v>General</v>
      </c>
      <c r="G15" s="143">
        <f>IFERROR(__xludf.DUMMYFUNCTION("""COMPUTED_VALUE"""),0.03851851851851852)</f>
        <v>0.03851851852</v>
      </c>
      <c r="H15" s="151"/>
      <c r="I15" s="140"/>
      <c r="J15" s="140"/>
      <c r="K15" s="140"/>
      <c r="L15" s="147">
        <f>IFERROR(__xludf.DUMMYFUNCTION("""COMPUTED_VALUE"""),2443016.0)</f>
        <v>2443016</v>
      </c>
      <c r="M15" s="148" t="str">
        <f>IFERROR(__xludf.DUMMYFUNCTION("""COMPUTED_VALUE"""),"Career Wellness Nano Tips with Shadé Zahrai")</f>
        <v>Career Wellness Nano Tips with Shadé Zahrai</v>
      </c>
      <c r="N15" s="147" t="str">
        <f>IFERROR(__xludf.DUMMYFUNCTION("""COMPUTED_VALUE"""),"Individual Contributor")</f>
        <v>Individual Contributor</v>
      </c>
      <c r="O15" s="141" t="str">
        <f>IFERROR(__xludf.DUMMYFUNCTION("""COMPUTED_VALUE"""),"Beginner")</f>
        <v>Beginner</v>
      </c>
      <c r="P15" s="143">
        <f>IFERROR(__xludf.DUMMYFUNCTION("""COMPUTED_VALUE"""),0.0020833333333333333)</f>
        <v>0.002083333333</v>
      </c>
      <c r="Q15" s="151"/>
      <c r="R15" s="140"/>
      <c r="S15" s="140"/>
    </row>
    <row r="16" ht="33.75" customHeight="1">
      <c r="A16" s="140"/>
      <c r="B16" s="140"/>
      <c r="C16" s="147">
        <f>IFERROR(__xludf.DUMMYFUNCTION("""COMPUTED_VALUE"""),2824200.0)</f>
        <v>2824200</v>
      </c>
      <c r="D16" s="148" t="str">
        <f>IFERROR(__xludf.DUMMYFUNCTION("""COMPUTED_VALUE"""),"Writing in Plain Language")</f>
        <v>Writing in Plain Language</v>
      </c>
      <c r="E16" s="147" t="str">
        <f>IFERROR(__xludf.DUMMYFUNCTION("""COMPUTED_VALUE"""),"General")</f>
        <v>General</v>
      </c>
      <c r="F16" s="141" t="str">
        <f>IFERROR(__xludf.DUMMYFUNCTION("""COMPUTED_VALUE"""),"General")</f>
        <v>General</v>
      </c>
      <c r="G16" s="143">
        <f>IFERROR(__xludf.DUMMYFUNCTION("""COMPUTED_VALUE"""),0.02922453703703704)</f>
        <v>0.02922453704</v>
      </c>
      <c r="H16" s="151"/>
      <c r="I16" s="140"/>
      <c r="J16" s="140"/>
      <c r="K16" s="140"/>
      <c r="L16" s="147">
        <f>IFERROR(__xludf.DUMMYFUNCTION("""COMPUTED_VALUE"""),2886118.0)</f>
        <v>2886118</v>
      </c>
      <c r="M16" s="148" t="str">
        <f>IFERROR(__xludf.DUMMYFUNCTION("""COMPUTED_VALUE"""),"Sharing Your Best Self at Work")</f>
        <v>Sharing Your Best Self at Work</v>
      </c>
      <c r="N16" s="147" t="str">
        <f>IFERROR(__xludf.DUMMYFUNCTION("""COMPUTED_VALUE"""),"Individual Contributor")</f>
        <v>Individual Contributor</v>
      </c>
      <c r="O16" s="141" t="str">
        <f>IFERROR(__xludf.DUMMYFUNCTION("""COMPUTED_VALUE"""),"General")</f>
        <v>General</v>
      </c>
      <c r="P16" s="143">
        <f>IFERROR(__xludf.DUMMYFUNCTION("""COMPUTED_VALUE"""),0.03935185185185185)</f>
        <v>0.03935185185</v>
      </c>
      <c r="Q16" s="151"/>
      <c r="R16" s="140"/>
      <c r="S16" s="140"/>
    </row>
    <row r="17" ht="33.75" customHeight="1">
      <c r="A17" s="140"/>
      <c r="B17" s="140"/>
      <c r="C17" s="147">
        <f>IFERROR(__xludf.DUMMYFUNCTION("""COMPUTED_VALUE"""),791333.0)</f>
        <v>791333</v>
      </c>
      <c r="D17" s="148" t="str">
        <f>IFERROR(__xludf.DUMMYFUNCTION("""COMPUTED_VALUE"""),"Productivity Hacks for Writers")</f>
        <v>Productivity Hacks for Writers</v>
      </c>
      <c r="E17" s="147" t="str">
        <f>IFERROR(__xludf.DUMMYFUNCTION("""COMPUTED_VALUE"""),"General")</f>
        <v>General</v>
      </c>
      <c r="F17" s="141" t="str">
        <f>IFERROR(__xludf.DUMMYFUNCTION("""COMPUTED_VALUE"""),"General")</f>
        <v>General</v>
      </c>
      <c r="G17" s="143">
        <f>IFERROR(__xludf.DUMMYFUNCTION("""COMPUTED_VALUE"""),0.11074074074074074)</f>
        <v>0.1107407407</v>
      </c>
      <c r="H17" s="151"/>
      <c r="I17" s="140"/>
      <c r="J17" s="140"/>
      <c r="K17" s="140"/>
      <c r="L17" s="147">
        <f>IFERROR(__xludf.DUMMYFUNCTION("""COMPUTED_VALUE"""),2885000.0)</f>
        <v>2885000</v>
      </c>
      <c r="M17" s="148" t="str">
        <f>IFERROR(__xludf.DUMMYFUNCTION("""COMPUTED_VALUE"""),"Use an Entrepreneurial Mindset to Find Success and Fulfillment at Work")</f>
        <v>Use an Entrepreneurial Mindset to Find Success and Fulfillment at Work</v>
      </c>
      <c r="N17" s="147" t="str">
        <f>IFERROR(__xludf.DUMMYFUNCTION("""COMPUTED_VALUE"""),"Individual Contributor")</f>
        <v>Individual Contributor</v>
      </c>
      <c r="O17" s="141" t="str">
        <f>IFERROR(__xludf.DUMMYFUNCTION("""COMPUTED_VALUE"""),"General")</f>
        <v>General</v>
      </c>
      <c r="P17" s="143">
        <f>IFERROR(__xludf.DUMMYFUNCTION("""COMPUTED_VALUE"""),0.03355324074074074)</f>
        <v>0.03355324074</v>
      </c>
      <c r="Q17" s="151"/>
      <c r="R17" s="140"/>
      <c r="S17" s="140"/>
    </row>
    <row r="18" ht="33.75" customHeight="1">
      <c r="A18" s="140"/>
      <c r="B18" s="140"/>
      <c r="C18" s="147">
        <f>IFERROR(__xludf.DUMMYFUNCTION("""COMPUTED_VALUE"""),642461.0)</f>
        <v>642461</v>
      </c>
      <c r="D18" s="148" t="str">
        <f>IFERROR(__xludf.DUMMYFUNCTION("""COMPUTED_VALUE"""),"Writing a Compelling Blog Post")</f>
        <v>Writing a Compelling Blog Post</v>
      </c>
      <c r="E18" s="147" t="str">
        <f>IFERROR(__xludf.DUMMYFUNCTION("""COMPUTED_VALUE"""),"General")</f>
        <v>General</v>
      </c>
      <c r="F18" s="141" t="str">
        <f>IFERROR(__xludf.DUMMYFUNCTION("""COMPUTED_VALUE"""),"General")</f>
        <v>General</v>
      </c>
      <c r="G18" s="143">
        <f>IFERROR(__xludf.DUMMYFUNCTION("""COMPUTED_VALUE"""),0.031087962962962963)</f>
        <v>0.03108796296</v>
      </c>
      <c r="H18" s="151"/>
      <c r="I18" s="140"/>
      <c r="J18" s="140"/>
      <c r="K18" s="140"/>
      <c r="L18" s="147">
        <f>IFERROR(__xludf.DUMMYFUNCTION("""COMPUTED_VALUE"""),2886000.0)</f>
        <v>2886000</v>
      </c>
      <c r="M18" s="148" t="str">
        <f>IFERROR(__xludf.DUMMYFUNCTION("""COMPUTED_VALUE"""),"Practices for Regulating Your Nervous System and Reducing Stress")</f>
        <v>Practices for Regulating Your Nervous System and Reducing Stress</v>
      </c>
      <c r="N18" s="147" t="str">
        <f>IFERROR(__xludf.DUMMYFUNCTION("""COMPUTED_VALUE"""),"Individual Contributor")</f>
        <v>Individual Contributor</v>
      </c>
      <c r="O18" s="141" t="str">
        <f>IFERROR(__xludf.DUMMYFUNCTION("""COMPUTED_VALUE"""),"General")</f>
        <v>General</v>
      </c>
      <c r="P18" s="143">
        <f>IFERROR(__xludf.DUMMYFUNCTION("""COMPUTED_VALUE"""),0.025138888888888888)</f>
        <v>0.02513888889</v>
      </c>
      <c r="Q18" s="151"/>
      <c r="R18" s="140"/>
      <c r="S18" s="140"/>
    </row>
    <row r="19" ht="33.75" customHeight="1">
      <c r="A19" s="140"/>
      <c r="B19" s="140"/>
      <c r="C19" s="147">
        <f>IFERROR(__xludf.DUMMYFUNCTION("""COMPUTED_VALUE"""),608988.0)</f>
        <v>608988</v>
      </c>
      <c r="D19" s="148" t="str">
        <f>IFERROR(__xludf.DUMMYFUNCTION("""COMPUTED_VALUE"""),"Writing Formal Business Letters and Emails")</f>
        <v>Writing Formal Business Letters and Emails</v>
      </c>
      <c r="E19" s="147" t="str">
        <f>IFERROR(__xludf.DUMMYFUNCTION("""COMPUTED_VALUE"""),"General")</f>
        <v>General</v>
      </c>
      <c r="F19" s="141" t="str">
        <f>IFERROR(__xludf.DUMMYFUNCTION("""COMPUTED_VALUE"""),"General")</f>
        <v>General</v>
      </c>
      <c r="G19" s="143">
        <f>IFERROR(__xludf.DUMMYFUNCTION("""COMPUTED_VALUE"""),0.026354166666666668)</f>
        <v>0.02635416667</v>
      </c>
      <c r="H19" s="151"/>
      <c r="I19" s="140"/>
      <c r="J19" s="140"/>
      <c r="K19" s="140"/>
      <c r="L19" s="147">
        <f>IFERROR(__xludf.DUMMYFUNCTION("""COMPUTED_VALUE"""),2880016.0)</f>
        <v>2880016</v>
      </c>
      <c r="M19" s="148" t="str">
        <f>IFERROR(__xludf.DUMMYFUNCTION("""COMPUTED_VALUE"""),"Staying Positive in the Face of Negativity")</f>
        <v>Staying Positive in the Face of Negativity</v>
      </c>
      <c r="N19" s="147" t="str">
        <f>IFERROR(__xludf.DUMMYFUNCTION("""COMPUTED_VALUE"""),"Individual Contributor")</f>
        <v>Individual Contributor</v>
      </c>
      <c r="O19" s="141" t="str">
        <f>IFERROR(__xludf.DUMMYFUNCTION("""COMPUTED_VALUE"""),"General")</f>
        <v>General</v>
      </c>
      <c r="P19" s="143">
        <f>IFERROR(__xludf.DUMMYFUNCTION("""COMPUTED_VALUE"""),0.03934027777777778)</f>
        <v>0.03934027778</v>
      </c>
      <c r="Q19" s="151"/>
      <c r="R19" s="140"/>
      <c r="S19" s="140"/>
    </row>
    <row r="20" ht="33.75" customHeight="1">
      <c r="A20" s="140"/>
      <c r="B20" s="140"/>
      <c r="C20" s="147">
        <f>IFERROR(__xludf.DUMMYFUNCTION("""COMPUTED_VALUE"""),721923.0)</f>
        <v>721923</v>
      </c>
      <c r="D20" s="148" t="str">
        <f>IFERROR(__xludf.DUMMYFUNCTION("""COMPUTED_VALUE"""),"Writing with Flair: How to Become an Exceptional Writer")</f>
        <v>Writing with Flair: How to Become an Exceptional Writer</v>
      </c>
      <c r="E20" s="147" t="str">
        <f>IFERROR(__xludf.DUMMYFUNCTION("""COMPUTED_VALUE"""),"General")</f>
        <v>General</v>
      </c>
      <c r="F20" s="141" t="str">
        <f>IFERROR(__xludf.DUMMYFUNCTION("""COMPUTED_VALUE"""),"General")</f>
        <v>General</v>
      </c>
      <c r="G20" s="143">
        <f>IFERROR(__xludf.DUMMYFUNCTION("""COMPUTED_VALUE"""),0.2145601851851852)</f>
        <v>0.2145601852</v>
      </c>
      <c r="H20" s="151"/>
      <c r="I20" s="140"/>
      <c r="J20" s="140"/>
      <c r="K20" s="140"/>
      <c r="L20" s="147">
        <f>IFERROR(__xludf.DUMMYFUNCTION("""COMPUTED_VALUE"""),2893007.0)</f>
        <v>2893007</v>
      </c>
      <c r="M20" s="148" t="str">
        <f>IFERROR(__xludf.DUMMYFUNCTION("""COMPUTED_VALUE"""),"Cultivate Healthy Ambition")</f>
        <v>Cultivate Healthy Ambition</v>
      </c>
      <c r="N20" s="147" t="str">
        <f>IFERROR(__xludf.DUMMYFUNCTION("""COMPUTED_VALUE"""),"Individual Contributor")</f>
        <v>Individual Contributor</v>
      </c>
      <c r="O20" s="141" t="str">
        <f>IFERROR(__xludf.DUMMYFUNCTION("""COMPUTED_VALUE"""),"General")</f>
        <v>General</v>
      </c>
      <c r="P20" s="143">
        <f>IFERROR(__xludf.DUMMYFUNCTION("""COMPUTED_VALUE"""),0.025439814814814814)</f>
        <v>0.02543981481</v>
      </c>
      <c r="Q20" s="151"/>
      <c r="R20" s="140"/>
      <c r="S20" s="140"/>
    </row>
    <row r="21" ht="33.75" customHeight="1">
      <c r="A21" s="140"/>
      <c r="B21" s="140"/>
      <c r="C21" s="147">
        <f>IFERROR(__xludf.DUMMYFUNCTION("""COMPUTED_VALUE"""),699321.0)</f>
        <v>699321</v>
      </c>
      <c r="D21" s="148" t="str">
        <f>IFERROR(__xludf.DUMMYFUNCTION("""COMPUTED_VALUE"""),"Writing with Impact")</f>
        <v>Writing with Impact</v>
      </c>
      <c r="E21" s="147" t="str">
        <f>IFERROR(__xludf.DUMMYFUNCTION("""COMPUTED_VALUE"""),"General")</f>
        <v>General</v>
      </c>
      <c r="F21" s="141" t="str">
        <f>IFERROR(__xludf.DUMMYFUNCTION("""COMPUTED_VALUE"""),"General")</f>
        <v>General</v>
      </c>
      <c r="G21" s="143">
        <f>IFERROR(__xludf.DUMMYFUNCTION("""COMPUTED_VALUE"""),0.042951388888888886)</f>
        <v>0.04295138889</v>
      </c>
      <c r="H21" s="151"/>
      <c r="I21" s="140"/>
      <c r="J21" s="140"/>
      <c r="K21" s="140"/>
      <c r="L21" s="147">
        <f>IFERROR(__xludf.DUMMYFUNCTION("""COMPUTED_VALUE"""),2823257.0)</f>
        <v>2823257</v>
      </c>
      <c r="M21" s="148" t="str">
        <f>IFERROR(__xludf.DUMMYFUNCTION("""COMPUTED_VALUE"""),"Overcoming Overwhelm")</f>
        <v>Overcoming Overwhelm</v>
      </c>
      <c r="N21" s="147" t="str">
        <f>IFERROR(__xludf.DUMMYFUNCTION("""COMPUTED_VALUE"""),"General")</f>
        <v>General</v>
      </c>
      <c r="O21" s="141" t="str">
        <f>IFERROR(__xludf.DUMMYFUNCTION("""COMPUTED_VALUE"""),"Beginner")</f>
        <v>Beginner</v>
      </c>
      <c r="P21" s="143">
        <f>IFERROR(__xludf.DUMMYFUNCTION("""COMPUTED_VALUE"""),0.012766203703703703)</f>
        <v>0.0127662037</v>
      </c>
      <c r="Q21" s="151"/>
      <c r="R21" s="140"/>
      <c r="S21" s="140"/>
    </row>
    <row r="22" ht="33.75" customHeight="1">
      <c r="A22" s="140"/>
      <c r="B22" s="140"/>
      <c r="C22" s="147">
        <f>IFERROR(__xludf.DUMMYFUNCTION("""COMPUTED_VALUE"""),89962.0)</f>
        <v>89962</v>
      </c>
      <c r="D22" s="148" t="str">
        <f>IFERROR(__xludf.DUMMYFUNCTION("""COMPUTED_VALUE"""),"Writing: The Craft of Story")</f>
        <v>Writing: The Craft of Story</v>
      </c>
      <c r="E22" s="147" t="str">
        <f>IFERROR(__xludf.DUMMYFUNCTION("""COMPUTED_VALUE"""),"General")</f>
        <v>General</v>
      </c>
      <c r="F22" s="141" t="str">
        <f>IFERROR(__xludf.DUMMYFUNCTION("""COMPUTED_VALUE"""),"General")</f>
        <v>General</v>
      </c>
      <c r="G22" s="143">
        <f>IFERROR(__xludf.DUMMYFUNCTION("""COMPUTED_VALUE"""),0.08009259259259259)</f>
        <v>0.08009259259</v>
      </c>
      <c r="H22" s="151"/>
      <c r="I22" s="140"/>
      <c r="J22" s="140"/>
      <c r="K22" s="140"/>
      <c r="L22" s="147">
        <f>IFERROR(__xludf.DUMMYFUNCTION("""COMPUTED_VALUE"""),2825335.0)</f>
        <v>2825335</v>
      </c>
      <c r="M22" s="148" t="str">
        <f>IFERROR(__xludf.DUMMYFUNCTION("""COMPUTED_VALUE"""),"Finding and Doing the One Thing")</f>
        <v>Finding and Doing the One Thing</v>
      </c>
      <c r="N22" s="147" t="str">
        <f>IFERROR(__xludf.DUMMYFUNCTION("""COMPUTED_VALUE"""),"General")</f>
        <v>General</v>
      </c>
      <c r="O22" s="141" t="str">
        <f>IFERROR(__xludf.DUMMYFUNCTION("""COMPUTED_VALUE"""),"Beginner")</f>
        <v>Beginner</v>
      </c>
      <c r="P22" s="143">
        <f>IFERROR(__xludf.DUMMYFUNCTION("""COMPUTED_VALUE"""),0.01480324074074074)</f>
        <v>0.01480324074</v>
      </c>
      <c r="Q22" s="151"/>
      <c r="R22" s="140"/>
      <c r="S22" s="140"/>
    </row>
    <row r="23" ht="33.75" customHeight="1">
      <c r="A23" s="140"/>
      <c r="B23" s="140"/>
      <c r="C23" s="147">
        <f>IFERROR(__xludf.DUMMYFUNCTION("""COMPUTED_VALUE"""),2227598.0)</f>
        <v>2227598</v>
      </c>
      <c r="D23" s="148" t="str">
        <f>IFERROR(__xludf.DUMMYFUNCTION("""COMPUTED_VALUE"""),"Conquering Writer's Block")</f>
        <v>Conquering Writer's Block</v>
      </c>
      <c r="E23" s="147" t="str">
        <f>IFERROR(__xludf.DUMMYFUNCTION("""COMPUTED_VALUE"""),"General")</f>
        <v>General</v>
      </c>
      <c r="F23" s="141" t="str">
        <f>IFERROR(__xludf.DUMMYFUNCTION("""COMPUTED_VALUE"""),"General")</f>
        <v>General</v>
      </c>
      <c r="G23" s="143">
        <f>IFERROR(__xludf.DUMMYFUNCTION("""COMPUTED_VALUE"""),0.08479166666666667)</f>
        <v>0.08479166667</v>
      </c>
      <c r="H23" s="151"/>
      <c r="I23" s="140"/>
      <c r="J23" s="140"/>
      <c r="K23" s="140"/>
      <c r="L23" s="147">
        <f>IFERROR(__xludf.DUMMYFUNCTION("""COMPUTED_VALUE"""),2870085.0)</f>
        <v>2870085</v>
      </c>
      <c r="M23" s="148" t="str">
        <f>IFERROR(__xludf.DUMMYFUNCTION("""COMPUTED_VALUE"""),"Well-being in the Workplace")</f>
        <v>Well-being in the Workplace</v>
      </c>
      <c r="N23" s="147" t="str">
        <f>IFERROR(__xludf.DUMMYFUNCTION("""COMPUTED_VALUE"""),"General")</f>
        <v>General</v>
      </c>
      <c r="O23" s="141" t="str">
        <f>IFERROR(__xludf.DUMMYFUNCTION("""COMPUTED_VALUE"""),"Beginner")</f>
        <v>Beginner</v>
      </c>
      <c r="P23" s="143">
        <f>IFERROR(__xludf.DUMMYFUNCTION("""COMPUTED_VALUE"""),0.016342592592592593)</f>
        <v>0.01634259259</v>
      </c>
      <c r="Q23" s="151"/>
      <c r="R23" s="140"/>
      <c r="S23" s="140"/>
    </row>
    <row r="24" ht="33.75" customHeight="1">
      <c r="A24" s="140"/>
      <c r="B24" s="140"/>
      <c r="C24" s="147">
        <f>IFERROR(__xludf.DUMMYFUNCTION("""COMPUTED_VALUE"""),2800332.0)</f>
        <v>2800332</v>
      </c>
      <c r="D24" s="148" t="str">
        <f>IFERROR(__xludf.DUMMYFUNCTION("""COMPUTED_VALUE"""),"Running a Design Business: Writing and Pricing Winning Proposals")</f>
        <v>Running a Design Business: Writing and Pricing Winning Proposals</v>
      </c>
      <c r="E24" s="147" t="str">
        <f>IFERROR(__xludf.DUMMYFUNCTION("""COMPUTED_VALUE"""),"General")</f>
        <v>General</v>
      </c>
      <c r="F24" s="141" t="str">
        <f>IFERROR(__xludf.DUMMYFUNCTION("""COMPUTED_VALUE"""),"General")</f>
        <v>General</v>
      </c>
      <c r="G24" s="143">
        <f>IFERROR(__xludf.DUMMYFUNCTION("""COMPUTED_VALUE"""),0.03540509259259259)</f>
        <v>0.03540509259</v>
      </c>
      <c r="H24" s="151"/>
      <c r="I24" s="140"/>
      <c r="J24" s="140"/>
      <c r="K24" s="140"/>
      <c r="L24" s="147">
        <f>IFERROR(__xludf.DUMMYFUNCTION("""COMPUTED_VALUE"""),2823252.0)</f>
        <v>2823252</v>
      </c>
      <c r="M24" s="148" t="str">
        <f>IFERROR(__xludf.DUMMYFUNCTION("""COMPUTED_VALUE"""),"Managing Self-Doubt to Tackle Bigger Challenges")</f>
        <v>Managing Self-Doubt to Tackle Bigger Challenges</v>
      </c>
      <c r="N24" s="147" t="str">
        <f>IFERROR(__xludf.DUMMYFUNCTION("""COMPUTED_VALUE"""),"General")</f>
        <v>General</v>
      </c>
      <c r="O24" s="141" t="str">
        <f>IFERROR(__xludf.DUMMYFUNCTION("""COMPUTED_VALUE"""),"Beginner")</f>
        <v>Beginner</v>
      </c>
      <c r="P24" s="143">
        <f>IFERROR(__xludf.DUMMYFUNCTION("""COMPUTED_VALUE"""),0.017719907407407406)</f>
        <v>0.01771990741</v>
      </c>
      <c r="Q24" s="151"/>
      <c r="R24" s="140"/>
      <c r="S24" s="140"/>
    </row>
    <row r="25" ht="33.75" customHeight="1">
      <c r="A25" s="140"/>
      <c r="B25" s="140"/>
      <c r="C25" s="147">
        <f>IFERROR(__xludf.DUMMYFUNCTION("""COMPUTED_VALUE"""),2806193.0)</f>
        <v>2806193</v>
      </c>
      <c r="D25" s="148" t="str">
        <f>IFERROR(__xludf.DUMMYFUNCTION("""COMPUTED_VALUE"""),"Tips for Writing Business Emails")</f>
        <v>Tips for Writing Business Emails</v>
      </c>
      <c r="E25" s="147" t="str">
        <f>IFERROR(__xludf.DUMMYFUNCTION("""COMPUTED_VALUE"""),"General")</f>
        <v>General</v>
      </c>
      <c r="F25" s="141" t="str">
        <f>IFERROR(__xludf.DUMMYFUNCTION("""COMPUTED_VALUE"""),"General")</f>
        <v>General</v>
      </c>
      <c r="G25" s="143">
        <f>IFERROR(__xludf.DUMMYFUNCTION("""COMPUTED_VALUE"""),0.023668981481481482)</f>
        <v>0.02366898148</v>
      </c>
      <c r="H25" s="151"/>
      <c r="I25" s="140"/>
      <c r="J25" s="140"/>
      <c r="K25" s="140"/>
      <c r="L25" s="147">
        <f>IFERROR(__xludf.DUMMYFUNCTION("""COMPUTED_VALUE"""),2833041.0)</f>
        <v>2833041</v>
      </c>
      <c r="M25" s="148" t="str">
        <f>IFERROR(__xludf.DUMMYFUNCTION("""COMPUTED_VALUE"""),"Using Your Mind to Change Your Brain")</f>
        <v>Using Your Mind to Change Your Brain</v>
      </c>
      <c r="N25" s="147" t="str">
        <f>IFERROR(__xludf.DUMMYFUNCTION("""COMPUTED_VALUE"""),"General")</f>
        <v>General</v>
      </c>
      <c r="O25" s="141" t="str">
        <f>IFERROR(__xludf.DUMMYFUNCTION("""COMPUTED_VALUE"""),"Beginner")</f>
        <v>Beginner</v>
      </c>
      <c r="P25" s="143">
        <f>IFERROR(__xludf.DUMMYFUNCTION("""COMPUTED_VALUE"""),0.04871527777777778)</f>
        <v>0.04871527778</v>
      </c>
      <c r="Q25" s="151"/>
      <c r="R25" s="140"/>
      <c r="S25" s="140"/>
    </row>
    <row r="26" ht="33.75" customHeight="1">
      <c r="A26" s="140"/>
      <c r="B26" s="140"/>
      <c r="C26" s="147">
        <f>IFERROR(__xludf.DUMMYFUNCTION("""COMPUTED_VALUE"""),2835072.0)</f>
        <v>2835072</v>
      </c>
      <c r="D26" s="148" t="str">
        <f>IFERROR(__xludf.DUMMYFUNCTION("""COMPUTED_VALUE"""),"Writing with Commonly Confused Words")</f>
        <v>Writing with Commonly Confused Words</v>
      </c>
      <c r="E26" s="147" t="str">
        <f>IFERROR(__xludf.DUMMYFUNCTION("""COMPUTED_VALUE"""),"General")</f>
        <v>General</v>
      </c>
      <c r="F26" s="141" t="str">
        <f>IFERROR(__xludf.DUMMYFUNCTION("""COMPUTED_VALUE"""),"General")</f>
        <v>General</v>
      </c>
      <c r="G26" s="143">
        <f>IFERROR(__xludf.DUMMYFUNCTION("""COMPUTED_VALUE"""),0.030381944444444444)</f>
        <v>0.03038194444</v>
      </c>
      <c r="H26" s="151"/>
      <c r="I26" s="140"/>
      <c r="J26" s="140"/>
      <c r="K26" s="140"/>
      <c r="L26" s="147">
        <f>IFERROR(__xludf.DUMMYFUNCTION("""COMPUTED_VALUE"""),2803042.0)</f>
        <v>2803042</v>
      </c>
      <c r="M26" s="148" t="str">
        <f>IFERROR(__xludf.DUMMYFUNCTION("""COMPUTED_VALUE"""),"Chair Work: Yoga Fitness and Stretching at Your Desk")</f>
        <v>Chair Work: Yoga Fitness and Stretching at Your Desk</v>
      </c>
      <c r="N26" s="147" t="str">
        <f>IFERROR(__xludf.DUMMYFUNCTION("""COMPUTED_VALUE"""),"General")</f>
        <v>General</v>
      </c>
      <c r="O26" s="141" t="str">
        <f>IFERROR(__xludf.DUMMYFUNCTION("""COMPUTED_VALUE"""),"Beginner")</f>
        <v>Beginner</v>
      </c>
      <c r="P26" s="143">
        <f>IFERROR(__xludf.DUMMYFUNCTION("""COMPUTED_VALUE"""),0.02304398148148148)</f>
        <v>0.02304398148</v>
      </c>
      <c r="Q26" s="151"/>
      <c r="R26" s="140"/>
      <c r="S26" s="140"/>
    </row>
    <row r="27" ht="33.75" customHeight="1">
      <c r="A27" s="140"/>
      <c r="B27" s="140"/>
      <c r="C27" s="147">
        <f>IFERROR(__xludf.DUMMYFUNCTION("""COMPUTED_VALUE"""),791334.0)</f>
        <v>791334</v>
      </c>
      <c r="D27" s="148" t="str">
        <f>IFERROR(__xludf.DUMMYFUNCTION("""COMPUTED_VALUE"""),"Sell Your Novel to a Major Publisher")</f>
        <v>Sell Your Novel to a Major Publisher</v>
      </c>
      <c r="E27" s="147" t="str">
        <f>IFERROR(__xludf.DUMMYFUNCTION("""COMPUTED_VALUE"""),"General")</f>
        <v>General</v>
      </c>
      <c r="F27" s="141" t="str">
        <f>IFERROR(__xludf.DUMMYFUNCTION("""COMPUTED_VALUE"""),"General")</f>
        <v>General</v>
      </c>
      <c r="G27" s="143">
        <f>IFERROR(__xludf.DUMMYFUNCTION("""COMPUTED_VALUE"""),0.22277777777777777)</f>
        <v>0.2227777778</v>
      </c>
      <c r="H27" s="151"/>
      <c r="I27" s="140"/>
      <c r="J27" s="140"/>
      <c r="K27" s="140"/>
      <c r="L27" s="147">
        <f>IFERROR(__xludf.DUMMYFUNCTION("""COMPUTED_VALUE"""),2876024.0)</f>
        <v>2876024</v>
      </c>
      <c r="M27" s="148" t="str">
        <f>IFERROR(__xludf.DUMMYFUNCTION("""COMPUTED_VALUE"""),"How to Slash Anxiety and Keep Positivity Flowing")</f>
        <v>How to Slash Anxiety and Keep Positivity Flowing</v>
      </c>
      <c r="N27" s="147" t="str">
        <f>IFERROR(__xludf.DUMMYFUNCTION("""COMPUTED_VALUE"""),"General")</f>
        <v>General</v>
      </c>
      <c r="O27" s="141" t="str">
        <f>IFERROR(__xludf.DUMMYFUNCTION("""COMPUTED_VALUE"""),"Beginner")</f>
        <v>Beginner</v>
      </c>
      <c r="P27" s="143">
        <f>IFERROR(__xludf.DUMMYFUNCTION("""COMPUTED_VALUE"""),0.0190625)</f>
        <v>0.0190625</v>
      </c>
      <c r="Q27" s="151"/>
      <c r="R27" s="140"/>
      <c r="S27" s="140"/>
    </row>
    <row r="28" ht="33.75" customHeight="1">
      <c r="A28" s="140"/>
      <c r="B28" s="140"/>
      <c r="C28" s="147">
        <f>IFERROR(__xludf.DUMMYFUNCTION("""COMPUTED_VALUE"""),802833.0)</f>
        <v>802833</v>
      </c>
      <c r="D28" s="148" t="str">
        <f>IFERROR(__xludf.DUMMYFUNCTION("""COMPUTED_VALUE"""),"The Foundations of Fiction")</f>
        <v>The Foundations of Fiction</v>
      </c>
      <c r="E28" s="147" t="str">
        <f>IFERROR(__xludf.DUMMYFUNCTION("""COMPUTED_VALUE"""),"General")</f>
        <v>General</v>
      </c>
      <c r="F28" s="141" t="str">
        <f>IFERROR(__xludf.DUMMYFUNCTION("""COMPUTED_VALUE"""),"General")</f>
        <v>General</v>
      </c>
      <c r="G28" s="143">
        <f>IFERROR(__xludf.DUMMYFUNCTION("""COMPUTED_VALUE"""),0.24719907407407407)</f>
        <v>0.2471990741</v>
      </c>
      <c r="H28" s="151"/>
      <c r="I28" s="140"/>
      <c r="J28" s="140"/>
      <c r="K28" s="140"/>
      <c r="L28" s="147">
        <f>IFERROR(__xludf.DUMMYFUNCTION("""COMPUTED_VALUE"""),794118.0)</f>
        <v>794118</v>
      </c>
      <c r="M28" s="148" t="str">
        <f>IFERROR(__xludf.DUMMYFUNCTION("""COMPUTED_VALUE"""),"Teaching Civility in the Workplace")</f>
        <v>Teaching Civility in the Workplace</v>
      </c>
      <c r="N28" s="147" t="str">
        <f>IFERROR(__xludf.DUMMYFUNCTION("""COMPUTED_VALUE"""),"General")</f>
        <v>General</v>
      </c>
      <c r="O28" s="141" t="str">
        <f>IFERROR(__xludf.DUMMYFUNCTION("""COMPUTED_VALUE"""),"Beginner")</f>
        <v>Beginner</v>
      </c>
      <c r="P28" s="143">
        <f>IFERROR(__xludf.DUMMYFUNCTION("""COMPUTED_VALUE"""),0.03491898148148148)</f>
        <v>0.03491898148</v>
      </c>
      <c r="Q28" s="151"/>
      <c r="R28" s="140"/>
      <c r="S28" s="140"/>
    </row>
    <row r="29" ht="33.75" customHeight="1">
      <c r="A29" s="140"/>
      <c r="B29" s="140"/>
      <c r="C29" s="147">
        <f>IFERROR(__xludf.DUMMYFUNCTION("""COMPUTED_VALUE"""),2825739.0)</f>
        <v>2825739</v>
      </c>
      <c r="D29" s="148" t="str">
        <f>IFERROR(__xludf.DUMMYFUNCTION("""COMPUTED_VALUE"""),"Writing and Delivering Speeches")</f>
        <v>Writing and Delivering Speeches</v>
      </c>
      <c r="E29" s="147" t="str">
        <f>IFERROR(__xludf.DUMMYFUNCTION("""COMPUTED_VALUE"""),"General")</f>
        <v>General</v>
      </c>
      <c r="F29" s="141" t="str">
        <f>IFERROR(__xludf.DUMMYFUNCTION("""COMPUTED_VALUE"""),"General")</f>
        <v>General</v>
      </c>
      <c r="G29" s="143">
        <f>IFERROR(__xludf.DUMMYFUNCTION("""COMPUTED_VALUE"""),0.028125)</f>
        <v>0.028125</v>
      </c>
      <c r="H29" s="151"/>
      <c r="I29" s="140"/>
      <c r="J29" s="140"/>
      <c r="K29" s="140"/>
      <c r="L29" s="147">
        <f>IFERROR(__xludf.DUMMYFUNCTION("""COMPUTED_VALUE"""),2803040.0)</f>
        <v>2803040</v>
      </c>
      <c r="M29" s="148" t="str">
        <f>IFERROR(__xludf.DUMMYFUNCTION("""COMPUTED_VALUE"""),"De-stress: Meditation and Movement for Stress Management")</f>
        <v>De-stress: Meditation and Movement for Stress Management</v>
      </c>
      <c r="N29" s="147" t="str">
        <f>IFERROR(__xludf.DUMMYFUNCTION("""COMPUTED_VALUE"""),"General")</f>
        <v>General</v>
      </c>
      <c r="O29" s="141" t="str">
        <f>IFERROR(__xludf.DUMMYFUNCTION("""COMPUTED_VALUE"""),"Beginner")</f>
        <v>Beginner</v>
      </c>
      <c r="P29" s="143">
        <f>IFERROR(__xludf.DUMMYFUNCTION("""COMPUTED_VALUE"""),0.025231481481481483)</f>
        <v>0.02523148148</v>
      </c>
      <c r="Q29" s="151"/>
      <c r="R29" s="140"/>
      <c r="S29" s="140"/>
    </row>
    <row r="30" ht="33.75" customHeight="1">
      <c r="A30" s="140"/>
      <c r="B30" s="140"/>
      <c r="C30" s="147">
        <f>IFERROR(__xludf.DUMMYFUNCTION("""COMPUTED_VALUE"""),2888117.0)</f>
        <v>2888117</v>
      </c>
      <c r="D30" s="148" t="str">
        <f>IFERROR(__xludf.DUMMYFUNCTION("""COMPUTED_VALUE"""),"Cold Email Prospecting")</f>
        <v>Cold Email Prospecting</v>
      </c>
      <c r="E30" s="147" t="str">
        <f>IFERROR(__xludf.DUMMYFUNCTION("""COMPUTED_VALUE"""),"General")</f>
        <v>General</v>
      </c>
      <c r="F30" s="141" t="str">
        <f>IFERROR(__xludf.DUMMYFUNCTION("""COMPUTED_VALUE"""),"Intermediate")</f>
        <v>Intermediate</v>
      </c>
      <c r="G30" s="143">
        <f>IFERROR(__xludf.DUMMYFUNCTION("""COMPUTED_VALUE"""),0.051145833333333335)</f>
        <v>0.05114583333</v>
      </c>
      <c r="H30" s="151"/>
      <c r="I30" s="140"/>
      <c r="J30" s="140"/>
      <c r="K30" s="140"/>
      <c r="L30" s="147">
        <f>IFERROR(__xludf.DUMMYFUNCTION("""COMPUTED_VALUE"""),2812492.0)</f>
        <v>2812492</v>
      </c>
      <c r="M30" s="148" t="str">
        <f>IFERROR(__xludf.DUMMYFUNCTION("""COMPUTED_VALUE"""),"Overcoming Imposter Syndrome")</f>
        <v>Overcoming Imposter Syndrome</v>
      </c>
      <c r="N30" s="147" t="str">
        <f>IFERROR(__xludf.DUMMYFUNCTION("""COMPUTED_VALUE"""),"General")</f>
        <v>General</v>
      </c>
      <c r="O30" s="141" t="str">
        <f>IFERROR(__xludf.DUMMYFUNCTION("""COMPUTED_VALUE"""),"Beginner")</f>
        <v>Beginner</v>
      </c>
      <c r="P30" s="143">
        <f>IFERROR(__xludf.DUMMYFUNCTION("""COMPUTED_VALUE"""),0.02224537037037037)</f>
        <v>0.02224537037</v>
      </c>
      <c r="Q30" s="151"/>
      <c r="R30" s="140"/>
      <c r="S30" s="140"/>
    </row>
    <row r="31" ht="33.75" customHeight="1">
      <c r="A31" s="140"/>
      <c r="B31" s="140"/>
      <c r="C31" s="147">
        <f>IFERROR(__xludf.DUMMYFUNCTION("""COMPUTED_VALUE"""),721926.0)</f>
        <v>721926</v>
      </c>
      <c r="D31" s="148" t="str">
        <f>IFERROR(__xludf.DUMMYFUNCTION("""COMPUTED_VALUE"""),"Ninja Writing: The Four Levels of Writing Mastery")</f>
        <v>Ninja Writing: The Four Levels of Writing Mastery</v>
      </c>
      <c r="E31" s="147" t="str">
        <f>IFERROR(__xludf.DUMMYFUNCTION("""COMPUTED_VALUE"""),"General")</f>
        <v>General</v>
      </c>
      <c r="F31" s="141" t="str">
        <f>IFERROR(__xludf.DUMMYFUNCTION("""COMPUTED_VALUE"""),"Intermediate")</f>
        <v>Intermediate</v>
      </c>
      <c r="G31" s="143">
        <f>IFERROR(__xludf.DUMMYFUNCTION("""COMPUTED_VALUE"""),0.1748148148148148)</f>
        <v>0.1748148148</v>
      </c>
      <c r="H31" s="151"/>
      <c r="I31" s="140"/>
      <c r="J31" s="140"/>
      <c r="K31" s="140"/>
      <c r="L31" s="147">
        <f>IFERROR(__xludf.DUMMYFUNCTION("""COMPUTED_VALUE"""),2825340.0)</f>
        <v>2825340</v>
      </c>
      <c r="M31" s="148" t="str">
        <f>IFERROR(__xludf.DUMMYFUNCTION("""COMPUTED_VALUE"""),"Stop Stressing and Keep Moving Forward")</f>
        <v>Stop Stressing and Keep Moving Forward</v>
      </c>
      <c r="N31" s="147" t="str">
        <f>IFERROR(__xludf.DUMMYFUNCTION("""COMPUTED_VALUE"""),"General")</f>
        <v>General</v>
      </c>
      <c r="O31" s="141" t="str">
        <f>IFERROR(__xludf.DUMMYFUNCTION("""COMPUTED_VALUE"""),"Beginner")</f>
        <v>Beginner</v>
      </c>
      <c r="P31" s="143">
        <f>IFERROR(__xludf.DUMMYFUNCTION("""COMPUTED_VALUE"""),0.015462962962962963)</f>
        <v>0.01546296296</v>
      </c>
      <c r="Q31" s="151"/>
      <c r="R31" s="140"/>
      <c r="S31" s="140"/>
    </row>
    <row r="32" ht="33.75" customHeight="1">
      <c r="A32" s="140"/>
      <c r="B32" s="140"/>
      <c r="C32" s="147"/>
      <c r="D32" s="153"/>
      <c r="E32" s="147"/>
      <c r="F32" s="141"/>
      <c r="G32" s="141"/>
      <c r="H32" s="151"/>
      <c r="I32" s="140"/>
      <c r="J32" s="140"/>
      <c r="K32" s="140"/>
      <c r="L32" s="147">
        <f>IFERROR(__xludf.DUMMYFUNCTION("""COMPUTED_VALUE"""),2873102.0)</f>
        <v>2873102</v>
      </c>
      <c r="M32" s="148" t="str">
        <f>IFERROR(__xludf.DUMMYFUNCTION("""COMPUTED_VALUE"""),"How to Have Compassionate Presence")</f>
        <v>How to Have Compassionate Presence</v>
      </c>
      <c r="N32" s="147" t="str">
        <f>IFERROR(__xludf.DUMMYFUNCTION("""COMPUTED_VALUE"""),"General")</f>
        <v>General</v>
      </c>
      <c r="O32" s="141" t="str">
        <f>IFERROR(__xludf.DUMMYFUNCTION("""COMPUTED_VALUE"""),"Beginner")</f>
        <v>Beginner</v>
      </c>
      <c r="P32" s="143">
        <f>IFERROR(__xludf.DUMMYFUNCTION("""COMPUTED_VALUE"""),0.028113425925925927)</f>
        <v>0.02811342593</v>
      </c>
      <c r="Q32" s="151"/>
      <c r="R32" s="140"/>
      <c r="S32" s="140"/>
    </row>
    <row r="33" ht="33.75" customHeight="1">
      <c r="A33" s="140"/>
      <c r="B33" s="140"/>
      <c r="C33" s="147"/>
      <c r="D33" s="153"/>
      <c r="E33" s="147"/>
      <c r="F33" s="141"/>
      <c r="G33" s="141"/>
      <c r="H33" s="151"/>
      <c r="I33" s="140"/>
      <c r="J33" s="140"/>
      <c r="K33" s="140"/>
      <c r="L33" s="147">
        <f>IFERROR(__xludf.DUMMYFUNCTION("""COMPUTED_VALUE"""),2833042.0)</f>
        <v>2833042</v>
      </c>
      <c r="M33" s="148" t="str">
        <f>IFERROR(__xludf.DUMMYFUNCTION("""COMPUTED_VALUE"""),"Mindfulness for Beginners")</f>
        <v>Mindfulness for Beginners</v>
      </c>
      <c r="N33" s="147" t="str">
        <f>IFERROR(__xludf.DUMMYFUNCTION("""COMPUTED_VALUE"""),"General")</f>
        <v>General</v>
      </c>
      <c r="O33" s="141" t="str">
        <f>IFERROR(__xludf.DUMMYFUNCTION("""COMPUTED_VALUE"""),"Beginner")</f>
        <v>Beginner</v>
      </c>
      <c r="P33" s="143">
        <f>IFERROR(__xludf.DUMMYFUNCTION("""COMPUTED_VALUE"""),0.10055555555555555)</f>
        <v>0.1005555556</v>
      </c>
      <c r="Q33" s="151"/>
      <c r="R33" s="140"/>
      <c r="S33" s="140"/>
    </row>
    <row r="34" ht="33.75" customHeight="1">
      <c r="A34" s="140"/>
      <c r="B34" s="140"/>
      <c r="C34" s="147"/>
      <c r="D34" s="153"/>
      <c r="E34" s="147"/>
      <c r="F34" s="141"/>
      <c r="G34" s="141"/>
      <c r="H34" s="151"/>
      <c r="I34" s="140"/>
      <c r="J34" s="140"/>
      <c r="K34" s="140"/>
      <c r="L34" s="147">
        <f>IFERROR(__xludf.DUMMYFUNCTION("""COMPUTED_VALUE"""),2804062.0)</f>
        <v>2804062</v>
      </c>
      <c r="M34" s="148" t="str">
        <f>IFERROR(__xludf.DUMMYFUNCTION("""COMPUTED_VALUE"""),"Computer and Text Neck Stretching Exercises")</f>
        <v>Computer and Text Neck Stretching Exercises</v>
      </c>
      <c r="N34" s="147" t="str">
        <f>IFERROR(__xludf.DUMMYFUNCTION("""COMPUTED_VALUE"""),"General")</f>
        <v>General</v>
      </c>
      <c r="O34" s="141" t="str">
        <f>IFERROR(__xludf.DUMMYFUNCTION("""COMPUTED_VALUE"""),"Beginner")</f>
        <v>Beginner</v>
      </c>
      <c r="P34" s="143">
        <f>IFERROR(__xludf.DUMMYFUNCTION("""COMPUTED_VALUE"""),0.014502314814814815)</f>
        <v>0.01450231481</v>
      </c>
      <c r="Q34" s="151"/>
      <c r="R34" s="140"/>
      <c r="S34" s="140"/>
    </row>
    <row r="35" ht="33.75" customHeight="1">
      <c r="A35" s="140"/>
      <c r="B35" s="140"/>
      <c r="C35" s="147"/>
      <c r="D35" s="153"/>
      <c r="E35" s="147"/>
      <c r="F35" s="141"/>
      <c r="G35" s="141"/>
      <c r="H35" s="151"/>
      <c r="I35" s="140"/>
      <c r="J35" s="140"/>
      <c r="K35" s="140"/>
      <c r="L35" s="147">
        <f>IFERROR(__xludf.DUMMYFUNCTION("""COMPUTED_VALUE"""),2802031.0)</f>
        <v>2802031</v>
      </c>
      <c r="M35" s="148" t="str">
        <f>IFERROR(__xludf.DUMMYFUNCTION("""COMPUTED_VALUE"""),"The Mindful Workday")</f>
        <v>The Mindful Workday</v>
      </c>
      <c r="N35" s="147" t="str">
        <f>IFERROR(__xludf.DUMMYFUNCTION("""COMPUTED_VALUE"""),"General")</f>
        <v>General</v>
      </c>
      <c r="O35" s="141" t="str">
        <f>IFERROR(__xludf.DUMMYFUNCTION("""COMPUTED_VALUE"""),"Beginner")</f>
        <v>Beginner</v>
      </c>
      <c r="P35" s="143">
        <f>IFERROR(__xludf.DUMMYFUNCTION("""COMPUTED_VALUE"""),0.028009259259259258)</f>
        <v>0.02800925926</v>
      </c>
      <c r="Q35" s="151"/>
      <c r="R35" s="140"/>
      <c r="S35" s="140"/>
    </row>
    <row r="36" ht="33.75" customHeight="1">
      <c r="A36" s="140"/>
      <c r="B36" s="140"/>
      <c r="C36" s="147"/>
      <c r="D36" s="153"/>
      <c r="E36" s="147"/>
      <c r="F36" s="141"/>
      <c r="G36" s="141"/>
      <c r="H36" s="151"/>
      <c r="I36" s="140"/>
      <c r="J36" s="140"/>
      <c r="K36" s="140"/>
      <c r="L36" s="147">
        <f>IFERROR(__xludf.DUMMYFUNCTION("""COMPUTED_VALUE"""),2823287.0)</f>
        <v>2823287</v>
      </c>
      <c r="M36" s="148" t="str">
        <f>IFERROR(__xludf.DUMMYFUNCTION("""COMPUTED_VALUE"""),"Taking a Break from Your Phone")</f>
        <v>Taking a Break from Your Phone</v>
      </c>
      <c r="N36" s="147" t="str">
        <f>IFERROR(__xludf.DUMMYFUNCTION("""COMPUTED_VALUE"""),"General")</f>
        <v>General</v>
      </c>
      <c r="O36" s="141" t="str">
        <f>IFERROR(__xludf.DUMMYFUNCTION("""COMPUTED_VALUE"""),"Beginner")</f>
        <v>Beginner</v>
      </c>
      <c r="P36" s="143">
        <f>IFERROR(__xludf.DUMMYFUNCTION("""COMPUTED_VALUE"""),0.01747685185185185)</f>
        <v>0.01747685185</v>
      </c>
      <c r="Q36" s="151"/>
      <c r="R36" s="140"/>
      <c r="S36" s="140"/>
    </row>
    <row r="37" ht="33.75" customHeight="1">
      <c r="A37" s="140"/>
      <c r="B37" s="140"/>
      <c r="C37" s="147"/>
      <c r="D37" s="153"/>
      <c r="E37" s="147"/>
      <c r="F37" s="141"/>
      <c r="G37" s="141"/>
      <c r="H37" s="151"/>
      <c r="I37" s="140"/>
      <c r="J37" s="140"/>
      <c r="K37" s="140"/>
      <c r="L37" s="147">
        <f>IFERROR(__xludf.DUMMYFUNCTION("""COMPUTED_VALUE"""),2802032.0)</f>
        <v>2802032</v>
      </c>
      <c r="M37" s="148" t="str">
        <f>IFERROR(__xludf.DUMMYFUNCTION("""COMPUTED_VALUE"""),"Ergonomics 101")</f>
        <v>Ergonomics 101</v>
      </c>
      <c r="N37" s="147" t="str">
        <f>IFERROR(__xludf.DUMMYFUNCTION("""COMPUTED_VALUE"""),"General")</f>
        <v>General</v>
      </c>
      <c r="O37" s="141" t="str">
        <f>IFERROR(__xludf.DUMMYFUNCTION("""COMPUTED_VALUE"""),"Beginner")</f>
        <v>Beginner</v>
      </c>
      <c r="P37" s="143">
        <f>IFERROR(__xludf.DUMMYFUNCTION("""COMPUTED_VALUE"""),0.024583333333333332)</f>
        <v>0.02458333333</v>
      </c>
      <c r="Q37" s="151"/>
      <c r="R37" s="140"/>
      <c r="S37" s="140"/>
    </row>
    <row r="38" ht="33.75" customHeight="1">
      <c r="A38" s="140"/>
      <c r="B38" s="140"/>
      <c r="C38" s="147"/>
      <c r="D38" s="153"/>
      <c r="E38" s="147"/>
      <c r="F38" s="141"/>
      <c r="G38" s="141"/>
      <c r="H38" s="151"/>
      <c r="I38" s="140"/>
      <c r="J38" s="140"/>
      <c r="K38" s="140"/>
      <c r="L38" s="147">
        <f>IFERROR(__xludf.DUMMYFUNCTION("""COMPUTED_VALUE"""),570966.0)</f>
        <v>570966</v>
      </c>
      <c r="M38" s="148" t="str">
        <f>IFERROR(__xludf.DUMMYFUNCTION("""COMPUTED_VALUE"""),"Developing Your Emotional Intelligence")</f>
        <v>Developing Your Emotional Intelligence</v>
      </c>
      <c r="N38" s="147" t="str">
        <f>IFERROR(__xludf.DUMMYFUNCTION("""COMPUTED_VALUE"""),"General")</f>
        <v>General</v>
      </c>
      <c r="O38" s="141" t="str">
        <f>IFERROR(__xludf.DUMMYFUNCTION("""COMPUTED_VALUE"""),"Beginner")</f>
        <v>Beginner</v>
      </c>
      <c r="P38" s="143">
        <f>IFERROR(__xludf.DUMMYFUNCTION("""COMPUTED_VALUE"""),0.04170138888888889)</f>
        <v>0.04170138889</v>
      </c>
      <c r="Q38" s="151"/>
      <c r="R38" s="140"/>
      <c r="S38" s="140"/>
    </row>
    <row r="39" ht="33.75" customHeight="1">
      <c r="A39" s="140"/>
      <c r="B39" s="140"/>
      <c r="C39" s="147"/>
      <c r="D39" s="153"/>
      <c r="E39" s="147"/>
      <c r="F39" s="141"/>
      <c r="G39" s="141"/>
      <c r="H39" s="151"/>
      <c r="I39" s="140"/>
      <c r="J39" s="140"/>
      <c r="K39" s="140"/>
      <c r="L39" s="147">
        <f>IFERROR(__xludf.DUMMYFUNCTION("""COMPUTED_VALUE"""),2835073.0)</f>
        <v>2835073</v>
      </c>
      <c r="M39" s="148" t="str">
        <f>IFERROR(__xludf.DUMMYFUNCTION("""COMPUTED_VALUE"""),"Meditations to Change Your Brain")</f>
        <v>Meditations to Change Your Brain</v>
      </c>
      <c r="N39" s="147" t="str">
        <f>IFERROR(__xludf.DUMMYFUNCTION("""COMPUTED_VALUE"""),"General")</f>
        <v>General</v>
      </c>
      <c r="O39" s="141" t="str">
        <f>IFERROR(__xludf.DUMMYFUNCTION("""COMPUTED_VALUE"""),"Beginner")</f>
        <v>Beginner</v>
      </c>
      <c r="P39" s="143">
        <f>IFERROR(__xludf.DUMMYFUNCTION("""COMPUTED_VALUE"""),0.10400462962962963)</f>
        <v>0.1040046296</v>
      </c>
      <c r="Q39" s="151"/>
      <c r="R39" s="140"/>
      <c r="S39" s="140"/>
    </row>
    <row r="40" ht="33.75" customHeight="1">
      <c r="A40" s="140"/>
      <c r="B40" s="140"/>
      <c r="C40" s="147"/>
      <c r="D40" s="153"/>
      <c r="E40" s="147"/>
      <c r="F40" s="141"/>
      <c r="G40" s="141"/>
      <c r="H40" s="151"/>
      <c r="I40" s="140"/>
      <c r="J40" s="140"/>
      <c r="K40" s="140"/>
      <c r="L40" s="147">
        <f>IFERROR(__xludf.DUMMYFUNCTION("""COMPUTED_VALUE"""),622054.0)</f>
        <v>622054</v>
      </c>
      <c r="M40" s="148" t="str">
        <f>IFERROR(__xludf.DUMMYFUNCTION("""COMPUTED_VALUE"""),"Developing Self-Awareness")</f>
        <v>Developing Self-Awareness</v>
      </c>
      <c r="N40" s="147" t="str">
        <f>IFERROR(__xludf.DUMMYFUNCTION("""COMPUTED_VALUE"""),"General")</f>
        <v>General</v>
      </c>
      <c r="O40" s="141" t="str">
        <f>IFERROR(__xludf.DUMMYFUNCTION("""COMPUTED_VALUE"""),"Beginner")</f>
        <v>Beginner</v>
      </c>
      <c r="P40" s="143">
        <f>IFERROR(__xludf.DUMMYFUNCTION("""COMPUTED_VALUE"""),0.04170138888888889)</f>
        <v>0.04170138889</v>
      </c>
      <c r="Q40" s="151"/>
      <c r="R40" s="140"/>
      <c r="S40" s="140"/>
    </row>
    <row r="41" ht="33.75" customHeight="1">
      <c r="A41" s="140"/>
      <c r="B41" s="140"/>
      <c r="C41" s="147"/>
      <c r="D41" s="153"/>
      <c r="E41" s="147"/>
      <c r="F41" s="141"/>
      <c r="G41" s="141"/>
      <c r="H41" s="151"/>
      <c r="I41" s="140"/>
      <c r="J41" s="140"/>
      <c r="K41" s="140"/>
      <c r="L41" s="147">
        <f>IFERROR(__xludf.DUMMYFUNCTION("""COMPUTED_VALUE"""),2811713.0)</f>
        <v>2811713</v>
      </c>
      <c r="M41" s="148" t="str">
        <f>IFERROR(__xludf.DUMMYFUNCTION("""COMPUTED_VALUE"""),"Avoiding Burnout")</f>
        <v>Avoiding Burnout</v>
      </c>
      <c r="N41" s="147" t="str">
        <f>IFERROR(__xludf.DUMMYFUNCTION("""COMPUTED_VALUE"""),"General")</f>
        <v>General</v>
      </c>
      <c r="O41" s="141" t="str">
        <f>IFERROR(__xludf.DUMMYFUNCTION("""COMPUTED_VALUE"""),"Beginner")</f>
        <v>Beginner</v>
      </c>
      <c r="P41" s="143">
        <f>IFERROR(__xludf.DUMMYFUNCTION("""COMPUTED_VALUE"""),0.016724537037037038)</f>
        <v>0.01672453704</v>
      </c>
      <c r="Q41" s="151"/>
      <c r="R41" s="140"/>
      <c r="S41" s="140"/>
    </row>
    <row r="42" ht="33.75" customHeight="1">
      <c r="A42" s="140"/>
      <c r="B42" s="140"/>
      <c r="C42" s="147"/>
      <c r="D42" s="153"/>
      <c r="E42" s="147"/>
      <c r="F42" s="141"/>
      <c r="G42" s="141"/>
      <c r="H42" s="151"/>
      <c r="I42" s="140"/>
      <c r="J42" s="140"/>
      <c r="K42" s="140"/>
      <c r="L42" s="147">
        <f>IFERROR(__xludf.DUMMYFUNCTION("""COMPUTED_VALUE"""),2832004.0)</f>
        <v>2832004</v>
      </c>
      <c r="M42" s="148" t="str">
        <f>IFERROR(__xludf.DUMMYFUNCTION("""COMPUTED_VALUE"""),"Sky Yogi: Relax and Stretch for a Better Flight")</f>
        <v>Sky Yogi: Relax and Stretch for a Better Flight</v>
      </c>
      <c r="N42" s="147" t="str">
        <f>IFERROR(__xludf.DUMMYFUNCTION("""COMPUTED_VALUE"""),"General")</f>
        <v>General</v>
      </c>
      <c r="O42" s="141" t="str">
        <f>IFERROR(__xludf.DUMMYFUNCTION("""COMPUTED_VALUE"""),"Beginner")</f>
        <v>Beginner</v>
      </c>
      <c r="P42" s="143">
        <f>IFERROR(__xludf.DUMMYFUNCTION("""COMPUTED_VALUE"""),0.055185185185185184)</f>
        <v>0.05518518519</v>
      </c>
      <c r="Q42" s="151"/>
      <c r="R42" s="140"/>
      <c r="S42" s="140"/>
    </row>
    <row r="43" ht="33.75" customHeight="1">
      <c r="A43" s="140"/>
      <c r="B43" s="140"/>
      <c r="C43" s="147"/>
      <c r="D43" s="153"/>
      <c r="E43" s="147"/>
      <c r="F43" s="141"/>
      <c r="G43" s="141"/>
      <c r="H43" s="151"/>
      <c r="I43" s="140"/>
      <c r="J43" s="140"/>
      <c r="K43" s="140"/>
      <c r="L43" s="147">
        <f>IFERROR(__xludf.DUMMYFUNCTION("""COMPUTED_VALUE"""),2864355.0)</f>
        <v>2864355</v>
      </c>
      <c r="M43" s="148" t="str">
        <f>IFERROR(__xludf.DUMMYFUNCTION("""COMPUTED_VALUE"""),"Boost Emotional Intelligence with Mindfulness")</f>
        <v>Boost Emotional Intelligence with Mindfulness</v>
      </c>
      <c r="N43" s="147" t="str">
        <f>IFERROR(__xludf.DUMMYFUNCTION("""COMPUTED_VALUE"""),"General")</f>
        <v>General</v>
      </c>
      <c r="O43" s="141" t="str">
        <f>IFERROR(__xludf.DUMMYFUNCTION("""COMPUTED_VALUE"""),"Beginner")</f>
        <v>Beginner</v>
      </c>
      <c r="P43" s="143">
        <f>IFERROR(__xludf.DUMMYFUNCTION("""COMPUTED_VALUE"""),0.06115740740740741)</f>
        <v>0.06115740741</v>
      </c>
      <c r="Q43" s="151"/>
      <c r="R43" s="140"/>
      <c r="S43" s="140"/>
    </row>
    <row r="44" ht="33.75" customHeight="1">
      <c r="A44" s="140"/>
      <c r="B44" s="140"/>
      <c r="C44" s="147"/>
      <c r="D44" s="153"/>
      <c r="E44" s="147"/>
      <c r="F44" s="141"/>
      <c r="G44" s="141"/>
      <c r="H44" s="151"/>
      <c r="I44" s="140"/>
      <c r="J44" s="140"/>
      <c r="K44" s="140"/>
      <c r="L44" s="147">
        <f>IFERROR(__xludf.DUMMYFUNCTION("""COMPUTED_VALUE"""),2810626.0)</f>
        <v>2810626</v>
      </c>
      <c r="M44" s="148" t="str">
        <f>IFERROR(__xludf.DUMMYFUNCTION("""COMPUTED_VALUE"""),"Managing Stress")</f>
        <v>Managing Stress</v>
      </c>
      <c r="N44" s="147" t="str">
        <f>IFERROR(__xludf.DUMMYFUNCTION("""COMPUTED_VALUE"""),"General")</f>
        <v>General</v>
      </c>
      <c r="O44" s="141" t="str">
        <f>IFERROR(__xludf.DUMMYFUNCTION("""COMPUTED_VALUE"""),"Beginner")</f>
        <v>Beginner</v>
      </c>
      <c r="P44" s="143">
        <f>IFERROR(__xludf.DUMMYFUNCTION("""COMPUTED_VALUE"""),0.014722222222222222)</f>
        <v>0.01472222222</v>
      </c>
      <c r="Q44" s="151"/>
      <c r="R44" s="140"/>
      <c r="S44" s="140"/>
    </row>
    <row r="45" ht="33.75" customHeight="1">
      <c r="A45" s="140"/>
      <c r="B45" s="140"/>
      <c r="C45" s="147"/>
      <c r="D45" s="153"/>
      <c r="E45" s="147"/>
      <c r="F45" s="141"/>
      <c r="G45" s="141"/>
      <c r="H45" s="151"/>
      <c r="I45" s="140"/>
      <c r="J45" s="140"/>
      <c r="K45" s="140"/>
      <c r="L45" s="147">
        <f>IFERROR(__xludf.DUMMYFUNCTION("""COMPUTED_VALUE"""),2367359.0)</f>
        <v>2367359</v>
      </c>
      <c r="M45" s="148" t="str">
        <f>IFERROR(__xludf.DUMMYFUNCTION("""COMPUTED_VALUE"""),"How to Make Work More Meaningful")</f>
        <v>How to Make Work More Meaningful</v>
      </c>
      <c r="N45" s="147" t="str">
        <f>IFERROR(__xludf.DUMMYFUNCTION("""COMPUTED_VALUE"""),"General")</f>
        <v>General</v>
      </c>
      <c r="O45" s="141" t="str">
        <f>IFERROR(__xludf.DUMMYFUNCTION("""COMPUTED_VALUE"""),"Beginner")</f>
        <v>Beginner</v>
      </c>
      <c r="P45" s="143">
        <f>IFERROR(__xludf.DUMMYFUNCTION("""COMPUTED_VALUE"""),0.01925925925925926)</f>
        <v>0.01925925926</v>
      </c>
      <c r="Q45" s="151"/>
      <c r="R45" s="140"/>
      <c r="S45" s="140"/>
    </row>
    <row r="46" ht="33.75" customHeight="1">
      <c r="A46" s="140"/>
      <c r="B46" s="140"/>
      <c r="C46" s="147"/>
      <c r="D46" s="153"/>
      <c r="E46" s="147"/>
      <c r="F46" s="141"/>
      <c r="G46" s="141"/>
      <c r="H46" s="151"/>
      <c r="I46" s="140"/>
      <c r="J46" s="140"/>
      <c r="K46" s="140"/>
      <c r="L46" s="147">
        <f>IFERROR(__xludf.DUMMYFUNCTION("""COMPUTED_VALUE"""),2878127.0)</f>
        <v>2878127</v>
      </c>
      <c r="M46" s="148" t="str">
        <f>IFERROR(__xludf.DUMMYFUNCTION("""COMPUTED_VALUE"""),"Mindful Productivity")</f>
        <v>Mindful Productivity</v>
      </c>
      <c r="N46" s="147" t="str">
        <f>IFERROR(__xludf.DUMMYFUNCTION("""COMPUTED_VALUE"""),"General")</f>
        <v>General</v>
      </c>
      <c r="O46" s="141" t="str">
        <f>IFERROR(__xludf.DUMMYFUNCTION("""COMPUTED_VALUE"""),"Beginner")</f>
        <v>Beginner</v>
      </c>
      <c r="P46" s="143">
        <f>IFERROR(__xludf.DUMMYFUNCTION("""COMPUTED_VALUE"""),0.032997685185185185)</f>
        <v>0.03299768519</v>
      </c>
      <c r="Q46" s="151"/>
      <c r="R46" s="140"/>
      <c r="S46" s="140"/>
    </row>
    <row r="47" ht="33.75" customHeight="1">
      <c r="A47" s="140"/>
      <c r="B47" s="140"/>
      <c r="C47" s="147"/>
      <c r="D47" s="153"/>
      <c r="E47" s="147"/>
      <c r="F47" s="141"/>
      <c r="G47" s="141"/>
      <c r="H47" s="151"/>
      <c r="I47" s="140"/>
      <c r="J47" s="140"/>
      <c r="K47" s="140"/>
      <c r="L47" s="147">
        <f>IFERROR(__xludf.DUMMYFUNCTION("""COMPUTED_VALUE"""),2874215.0)</f>
        <v>2874215</v>
      </c>
      <c r="M47" s="148" t="str">
        <f>IFERROR(__xludf.DUMMYFUNCTION("""COMPUTED_VALUE"""),"Embracing Change with Mindfulness")</f>
        <v>Embracing Change with Mindfulness</v>
      </c>
      <c r="N47" s="147" t="str">
        <f>IFERROR(__xludf.DUMMYFUNCTION("""COMPUTED_VALUE"""),"General")</f>
        <v>General</v>
      </c>
      <c r="O47" s="141" t="str">
        <f>IFERROR(__xludf.DUMMYFUNCTION("""COMPUTED_VALUE"""),"Beginner")</f>
        <v>Beginner</v>
      </c>
      <c r="P47" s="143">
        <f>IFERROR(__xludf.DUMMYFUNCTION("""COMPUTED_VALUE"""),0.031041666666666665)</f>
        <v>0.03104166667</v>
      </c>
      <c r="Q47" s="151"/>
      <c r="R47" s="140"/>
      <c r="S47" s="140"/>
    </row>
    <row r="48" ht="33.75" customHeight="1">
      <c r="A48" s="140"/>
      <c r="B48" s="140"/>
      <c r="C48" s="147"/>
      <c r="D48" s="153"/>
      <c r="E48" s="147"/>
      <c r="F48" s="141"/>
      <c r="G48" s="141"/>
      <c r="H48" s="151"/>
      <c r="I48" s="140"/>
      <c r="J48" s="140"/>
      <c r="K48" s="140"/>
      <c r="L48" s="147">
        <f>IFERROR(__xludf.DUMMYFUNCTION("""COMPUTED_VALUE"""),2875261.0)</f>
        <v>2875261</v>
      </c>
      <c r="M48" s="148" t="str">
        <f>IFERROR(__xludf.DUMMYFUNCTION("""COMPUTED_VALUE"""),"Winding Down: Get a Better Night’s Sleep")</f>
        <v>Winding Down: Get a Better Night’s Sleep</v>
      </c>
      <c r="N48" s="147" t="str">
        <f>IFERROR(__xludf.DUMMYFUNCTION("""COMPUTED_VALUE"""),"General")</f>
        <v>General</v>
      </c>
      <c r="O48" s="141" t="str">
        <f>IFERROR(__xludf.DUMMYFUNCTION("""COMPUTED_VALUE"""),"Beginner")</f>
        <v>Beginner</v>
      </c>
      <c r="P48" s="143">
        <f>IFERROR(__xludf.DUMMYFUNCTION("""COMPUTED_VALUE"""),0.03685185185185185)</f>
        <v>0.03685185185</v>
      </c>
      <c r="Q48" s="151"/>
      <c r="R48" s="140"/>
      <c r="S48" s="140"/>
    </row>
    <row r="49" ht="33.75" customHeight="1">
      <c r="A49" s="140"/>
      <c r="B49" s="140"/>
      <c r="C49" s="147"/>
      <c r="D49" s="153"/>
      <c r="E49" s="147"/>
      <c r="F49" s="141"/>
      <c r="G49" s="141"/>
      <c r="H49" s="151"/>
      <c r="I49" s="140"/>
      <c r="J49" s="140"/>
      <c r="K49" s="140"/>
      <c r="L49" s="147">
        <f>IFERROR(__xludf.DUMMYFUNCTION("""COMPUTED_VALUE"""),2875262.0)</f>
        <v>2875262</v>
      </c>
      <c r="M49" s="148" t="str">
        <f>IFERROR(__xludf.DUMMYFUNCTION("""COMPUTED_VALUE"""),"Mindful Stress Management")</f>
        <v>Mindful Stress Management</v>
      </c>
      <c r="N49" s="147" t="str">
        <f>IFERROR(__xludf.DUMMYFUNCTION("""COMPUTED_VALUE"""),"General")</f>
        <v>General</v>
      </c>
      <c r="O49" s="141" t="str">
        <f>IFERROR(__xludf.DUMMYFUNCTION("""COMPUTED_VALUE"""),"Beginner")</f>
        <v>Beginner</v>
      </c>
      <c r="P49" s="143">
        <f>IFERROR(__xludf.DUMMYFUNCTION("""COMPUTED_VALUE"""),0.025092592592592593)</f>
        <v>0.02509259259</v>
      </c>
      <c r="Q49" s="151"/>
      <c r="R49" s="140"/>
      <c r="S49" s="140"/>
    </row>
    <row r="50" ht="33.75" customHeight="1">
      <c r="A50" s="140"/>
      <c r="B50" s="140"/>
      <c r="C50" s="147"/>
      <c r="D50" s="153"/>
      <c r="E50" s="147"/>
      <c r="F50" s="141"/>
      <c r="G50" s="141"/>
      <c r="H50" s="151"/>
      <c r="I50" s="140"/>
      <c r="J50" s="140"/>
      <c r="K50" s="140"/>
      <c r="L50" s="147">
        <f>IFERROR(__xludf.DUMMYFUNCTION("""COMPUTED_VALUE"""),2875381.0)</f>
        <v>2875381</v>
      </c>
      <c r="M50" s="148" t="str">
        <f>IFERROR(__xludf.DUMMYFUNCTION("""COMPUTED_VALUE"""),"Introduction to Gratitude Meditation")</f>
        <v>Introduction to Gratitude Meditation</v>
      </c>
      <c r="N50" s="147" t="str">
        <f>IFERROR(__xludf.DUMMYFUNCTION("""COMPUTED_VALUE"""),"General")</f>
        <v>General</v>
      </c>
      <c r="O50" s="141" t="str">
        <f>IFERROR(__xludf.DUMMYFUNCTION("""COMPUTED_VALUE"""),"Beginner")</f>
        <v>Beginner</v>
      </c>
      <c r="P50" s="143">
        <f>IFERROR(__xludf.DUMMYFUNCTION("""COMPUTED_VALUE"""),0.011377314814814814)</f>
        <v>0.01137731481</v>
      </c>
      <c r="Q50" s="151"/>
      <c r="R50" s="140"/>
      <c r="S50" s="140"/>
    </row>
    <row r="51" ht="33.75" customHeight="1">
      <c r="A51" s="140"/>
      <c r="B51" s="140"/>
      <c r="C51" s="147"/>
      <c r="D51" s="153"/>
      <c r="E51" s="147"/>
      <c r="F51" s="141"/>
      <c r="G51" s="141"/>
      <c r="H51" s="151"/>
      <c r="I51" s="140"/>
      <c r="J51" s="140"/>
      <c r="K51" s="140"/>
      <c r="L51" s="147">
        <f>IFERROR(__xludf.DUMMYFUNCTION("""COMPUTED_VALUE"""),2875382.0)</f>
        <v>2875382</v>
      </c>
      <c r="M51" s="148" t="str">
        <f>IFERROR(__xludf.DUMMYFUNCTION("""COMPUTED_VALUE"""),"Introduction to Mind Like Sky Meditation")</f>
        <v>Introduction to Mind Like Sky Meditation</v>
      </c>
      <c r="N51" s="147" t="str">
        <f>IFERROR(__xludf.DUMMYFUNCTION("""COMPUTED_VALUE"""),"General")</f>
        <v>General</v>
      </c>
      <c r="O51" s="141" t="str">
        <f>IFERROR(__xludf.DUMMYFUNCTION("""COMPUTED_VALUE"""),"Beginner")</f>
        <v>Beginner</v>
      </c>
      <c r="P51" s="143">
        <f>IFERROR(__xludf.DUMMYFUNCTION("""COMPUTED_VALUE"""),0.019965277777777776)</f>
        <v>0.01996527778</v>
      </c>
      <c r="Q51" s="151"/>
      <c r="R51" s="140"/>
      <c r="S51" s="140"/>
    </row>
    <row r="52" ht="33.75" customHeight="1">
      <c r="A52" s="140"/>
      <c r="B52" s="140"/>
      <c r="C52" s="147"/>
      <c r="D52" s="153"/>
      <c r="E52" s="147"/>
      <c r="F52" s="141"/>
      <c r="G52" s="141"/>
      <c r="H52" s="151"/>
      <c r="I52" s="140"/>
      <c r="J52" s="140"/>
      <c r="K52" s="140"/>
      <c r="L52" s="147">
        <f>IFERROR(__xludf.DUMMYFUNCTION("""COMPUTED_VALUE"""),2876325.0)</f>
        <v>2876325</v>
      </c>
      <c r="M52" s="148" t="str">
        <f>IFERROR(__xludf.DUMMYFUNCTION("""COMPUTED_VALUE"""),"Introduction to Loving-Kindness Meditation")</f>
        <v>Introduction to Loving-Kindness Meditation</v>
      </c>
      <c r="N52" s="147" t="str">
        <f>IFERROR(__xludf.DUMMYFUNCTION("""COMPUTED_VALUE"""),"General")</f>
        <v>General</v>
      </c>
      <c r="O52" s="141" t="str">
        <f>IFERROR(__xludf.DUMMYFUNCTION("""COMPUTED_VALUE"""),"Beginner")</f>
        <v>Beginner</v>
      </c>
      <c r="P52" s="143">
        <f>IFERROR(__xludf.DUMMYFUNCTION("""COMPUTED_VALUE"""),0.01980324074074074)</f>
        <v>0.01980324074</v>
      </c>
      <c r="Q52" s="151"/>
      <c r="R52" s="140"/>
      <c r="S52" s="140"/>
    </row>
    <row r="53" ht="33.75" customHeight="1">
      <c r="A53" s="140"/>
      <c r="B53" s="140"/>
      <c r="C53" s="147"/>
      <c r="D53" s="153"/>
      <c r="E53" s="147"/>
      <c r="F53" s="141"/>
      <c r="G53" s="141"/>
      <c r="H53" s="151"/>
      <c r="I53" s="140"/>
      <c r="J53" s="140"/>
      <c r="K53" s="140"/>
      <c r="L53" s="147">
        <f>IFERROR(__xludf.DUMMYFUNCTION("""COMPUTED_VALUE"""),2876326.0)</f>
        <v>2876326</v>
      </c>
      <c r="M53" s="148" t="str">
        <f>IFERROR(__xludf.DUMMYFUNCTION("""COMPUTED_VALUE"""),"Introduction to Forgiveness Meditation")</f>
        <v>Introduction to Forgiveness Meditation</v>
      </c>
      <c r="N53" s="147" t="str">
        <f>IFERROR(__xludf.DUMMYFUNCTION("""COMPUTED_VALUE"""),"General")</f>
        <v>General</v>
      </c>
      <c r="O53" s="141" t="str">
        <f>IFERROR(__xludf.DUMMYFUNCTION("""COMPUTED_VALUE"""),"Beginner")</f>
        <v>Beginner</v>
      </c>
      <c r="P53" s="143">
        <f>IFERROR(__xludf.DUMMYFUNCTION("""COMPUTED_VALUE"""),0.012835648148148148)</f>
        <v>0.01283564815</v>
      </c>
      <c r="Q53" s="151"/>
      <c r="R53" s="140"/>
      <c r="S53" s="140"/>
    </row>
    <row r="54" ht="33.75" customHeight="1">
      <c r="A54" s="140"/>
      <c r="B54" s="140"/>
      <c r="C54" s="147"/>
      <c r="D54" s="153"/>
      <c r="E54" s="147"/>
      <c r="F54" s="141"/>
      <c r="G54" s="141"/>
      <c r="H54" s="151"/>
      <c r="I54" s="140"/>
      <c r="J54" s="140"/>
      <c r="K54" s="140"/>
      <c r="L54" s="147">
        <f>IFERROR(__xludf.DUMMYFUNCTION("""COMPUTED_VALUE"""),2877360.0)</f>
        <v>2877360</v>
      </c>
      <c r="M54" s="148" t="str">
        <f>IFERROR(__xludf.DUMMYFUNCTION("""COMPUTED_VALUE"""),"Introduction to Visualization Meditation")</f>
        <v>Introduction to Visualization Meditation</v>
      </c>
      <c r="N54" s="147" t="str">
        <f>IFERROR(__xludf.DUMMYFUNCTION("""COMPUTED_VALUE"""),"General")</f>
        <v>General</v>
      </c>
      <c r="O54" s="141" t="str">
        <f>IFERROR(__xludf.DUMMYFUNCTION("""COMPUTED_VALUE"""),"Beginner")</f>
        <v>Beginner</v>
      </c>
      <c r="P54" s="143">
        <f>IFERROR(__xludf.DUMMYFUNCTION("""COMPUTED_VALUE"""),0.007337962962962963)</f>
        <v>0.007337962963</v>
      </c>
      <c r="Q54" s="151"/>
      <c r="R54" s="140"/>
      <c r="S54" s="140"/>
    </row>
    <row r="55" ht="33.75" customHeight="1">
      <c r="A55" s="140"/>
      <c r="B55" s="140"/>
      <c r="C55" s="147"/>
      <c r="D55" s="153"/>
      <c r="E55" s="147"/>
      <c r="F55" s="141"/>
      <c r="G55" s="141"/>
      <c r="H55" s="151"/>
      <c r="I55" s="140"/>
      <c r="J55" s="140"/>
      <c r="K55" s="140"/>
      <c r="L55" s="147">
        <f>IFERROR(__xludf.DUMMYFUNCTION("""COMPUTED_VALUE"""),2874216.0)</f>
        <v>2874216</v>
      </c>
      <c r="M55" s="148" t="str">
        <f>IFERROR(__xludf.DUMMYFUNCTION("""COMPUTED_VALUE"""),"Mindful Leadership")</f>
        <v>Mindful Leadership</v>
      </c>
      <c r="N55" s="147" t="str">
        <f>IFERROR(__xludf.DUMMYFUNCTION("""COMPUTED_VALUE"""),"General")</f>
        <v>General</v>
      </c>
      <c r="O55" s="141" t="str">
        <f>IFERROR(__xludf.DUMMYFUNCTION("""COMPUTED_VALUE"""),"Beginner")</f>
        <v>Beginner</v>
      </c>
      <c r="P55" s="143">
        <f>IFERROR(__xludf.DUMMYFUNCTION("""COMPUTED_VALUE"""),0.02375)</f>
        <v>0.02375</v>
      </c>
      <c r="Q55" s="151"/>
      <c r="R55" s="140"/>
      <c r="S55" s="140"/>
    </row>
    <row r="56" ht="33.75" customHeight="1">
      <c r="A56" s="140"/>
      <c r="B56" s="140"/>
      <c r="C56" s="147"/>
      <c r="D56" s="153"/>
      <c r="E56" s="147"/>
      <c r="F56" s="141"/>
      <c r="G56" s="141"/>
      <c r="H56" s="151"/>
      <c r="I56" s="140"/>
      <c r="J56" s="140"/>
      <c r="K56" s="140"/>
      <c r="L56" s="147">
        <f>IFERROR(__xludf.DUMMYFUNCTION("""COMPUTED_VALUE"""),2885014.0)</f>
        <v>2885014</v>
      </c>
      <c r="M56" s="148" t="str">
        <f>IFERROR(__xludf.DUMMYFUNCTION("""COMPUTED_VALUE"""),"Creating Flow")</f>
        <v>Creating Flow</v>
      </c>
      <c r="N56" s="147" t="str">
        <f>IFERROR(__xludf.DUMMYFUNCTION("""COMPUTED_VALUE"""),"General")</f>
        <v>General</v>
      </c>
      <c r="O56" s="141" t="str">
        <f>IFERROR(__xludf.DUMMYFUNCTION("""COMPUTED_VALUE"""),"Beginner")</f>
        <v>Beginner</v>
      </c>
      <c r="P56" s="143">
        <f>IFERROR(__xludf.DUMMYFUNCTION("""COMPUTED_VALUE"""),0.033900462962962966)</f>
        <v>0.03390046296</v>
      </c>
      <c r="Q56" s="151"/>
      <c r="R56" s="140"/>
      <c r="S56" s="140"/>
    </row>
    <row r="57" ht="33.75" customHeight="1">
      <c r="A57" s="140"/>
      <c r="B57" s="140"/>
      <c r="C57" s="147"/>
      <c r="D57" s="153"/>
      <c r="E57" s="147"/>
      <c r="F57" s="141"/>
      <c r="G57" s="141"/>
      <c r="H57" s="151"/>
      <c r="I57" s="140"/>
      <c r="J57" s="140"/>
      <c r="K57" s="140"/>
      <c r="L57" s="147">
        <f>IFERROR(__xludf.DUMMYFUNCTION("""COMPUTED_VALUE"""),2878239.0)</f>
        <v>2878239</v>
      </c>
      <c r="M57" s="148" t="str">
        <f>IFERROR(__xludf.DUMMYFUNCTION("""COMPUTED_VALUE"""),"Overcoming Rejection")</f>
        <v>Overcoming Rejection</v>
      </c>
      <c r="N57" s="147" t="str">
        <f>IFERROR(__xludf.DUMMYFUNCTION("""COMPUTED_VALUE"""),"General")</f>
        <v>General</v>
      </c>
      <c r="O57" s="141" t="str">
        <f>IFERROR(__xludf.DUMMYFUNCTION("""COMPUTED_VALUE"""),"Beginner")</f>
        <v>Beginner</v>
      </c>
      <c r="P57" s="143">
        <f>IFERROR(__xludf.DUMMYFUNCTION("""COMPUTED_VALUE"""),0.038356481481481484)</f>
        <v>0.03835648148</v>
      </c>
      <c r="Q57" s="151"/>
      <c r="R57" s="140"/>
      <c r="S57" s="140"/>
    </row>
    <row r="58" ht="33.75" customHeight="1">
      <c r="A58" s="140"/>
      <c r="B58" s="140"/>
      <c r="C58" s="147"/>
      <c r="D58" s="153"/>
      <c r="E58" s="147"/>
      <c r="F58" s="141"/>
      <c r="G58" s="141"/>
      <c r="H58" s="151"/>
      <c r="I58" s="140"/>
      <c r="J58" s="140"/>
      <c r="K58" s="140"/>
      <c r="L58" s="147">
        <f>IFERROR(__xludf.DUMMYFUNCTION("""COMPUTED_VALUE"""),2887335.0)</f>
        <v>2887335</v>
      </c>
      <c r="M58" s="148" t="str">
        <f>IFERROR(__xludf.DUMMYFUNCTION("""COMPUTED_VALUE"""),"How to Be Both Assertive and Likable")</f>
        <v>How to Be Both Assertive and Likable</v>
      </c>
      <c r="N58" s="147" t="str">
        <f>IFERROR(__xludf.DUMMYFUNCTION("""COMPUTED_VALUE"""),"General")</f>
        <v>General</v>
      </c>
      <c r="O58" s="141" t="str">
        <f>IFERROR(__xludf.DUMMYFUNCTION("""COMPUTED_VALUE"""),"Beginner")</f>
        <v>Beginner</v>
      </c>
      <c r="P58" s="143">
        <f>IFERROR(__xludf.DUMMYFUNCTION("""COMPUTED_VALUE"""),0.01960648148148148)</f>
        <v>0.01960648148</v>
      </c>
      <c r="Q58" s="151"/>
      <c r="R58" s="140"/>
      <c r="S58" s="140"/>
    </row>
    <row r="59" ht="33.75" customHeight="1">
      <c r="A59" s="140"/>
      <c r="B59" s="140"/>
      <c r="C59" s="147"/>
      <c r="D59" s="153"/>
      <c r="E59" s="147"/>
      <c r="F59" s="141"/>
      <c r="G59" s="141"/>
      <c r="H59" s="151"/>
      <c r="I59" s="140"/>
      <c r="J59" s="140"/>
      <c r="K59" s="140"/>
      <c r="L59" s="147">
        <f>IFERROR(__xludf.DUMMYFUNCTION("""COMPUTED_VALUE"""),2881185.0)</f>
        <v>2881185</v>
      </c>
      <c r="M59" s="148" t="str">
        <f>IFERROR(__xludf.DUMMYFUNCTION("""COMPUTED_VALUE"""),"Pushing Past Your Prior Limits")</f>
        <v>Pushing Past Your Prior Limits</v>
      </c>
      <c r="N59" s="147" t="str">
        <f>IFERROR(__xludf.DUMMYFUNCTION("""COMPUTED_VALUE"""),"General")</f>
        <v>General</v>
      </c>
      <c r="O59" s="141" t="str">
        <f>IFERROR(__xludf.DUMMYFUNCTION("""COMPUTED_VALUE"""),"Beginner")</f>
        <v>Beginner</v>
      </c>
      <c r="P59" s="143">
        <f>IFERROR(__xludf.DUMMYFUNCTION("""COMPUTED_VALUE"""),0.01392361111111111)</f>
        <v>0.01392361111</v>
      </c>
      <c r="Q59" s="151"/>
      <c r="R59" s="140"/>
      <c r="S59" s="140"/>
    </row>
    <row r="60" ht="33.75" customHeight="1">
      <c r="A60" s="140"/>
      <c r="B60" s="140"/>
      <c r="C60" s="147"/>
      <c r="D60" s="153"/>
      <c r="E60" s="147"/>
      <c r="F60" s="141"/>
      <c r="G60" s="141"/>
      <c r="H60" s="151"/>
      <c r="I60" s="140"/>
      <c r="J60" s="140"/>
      <c r="K60" s="140"/>
      <c r="L60" s="147">
        <f>IFERROR(__xludf.DUMMYFUNCTION("""COMPUTED_VALUE"""),2881186.0)</f>
        <v>2881186</v>
      </c>
      <c r="M60" s="148" t="str">
        <f>IFERROR(__xludf.DUMMYFUNCTION("""COMPUTED_VALUE"""),"Establishing Evening Routines to Optimize the Day Ahead")</f>
        <v>Establishing Evening Routines to Optimize the Day Ahead</v>
      </c>
      <c r="N60" s="147" t="str">
        <f>IFERROR(__xludf.DUMMYFUNCTION("""COMPUTED_VALUE"""),"General")</f>
        <v>General</v>
      </c>
      <c r="O60" s="141" t="str">
        <f>IFERROR(__xludf.DUMMYFUNCTION("""COMPUTED_VALUE"""),"Beginner")</f>
        <v>Beginner</v>
      </c>
      <c r="P60" s="143">
        <f>IFERROR(__xludf.DUMMYFUNCTION("""COMPUTED_VALUE"""),0.010949074074074075)</f>
        <v>0.01094907407</v>
      </c>
      <c r="Q60" s="151"/>
      <c r="R60" s="140"/>
      <c r="S60" s="140"/>
    </row>
    <row r="61" ht="33.75" customHeight="1">
      <c r="A61" s="140"/>
      <c r="B61" s="140"/>
      <c r="C61" s="147"/>
      <c r="D61" s="153"/>
      <c r="E61" s="147"/>
      <c r="F61" s="141"/>
      <c r="G61" s="141"/>
      <c r="H61" s="151"/>
      <c r="I61" s="140"/>
      <c r="J61" s="140"/>
      <c r="K61" s="140"/>
      <c r="L61" s="147">
        <f>IFERROR(__xludf.DUMMYFUNCTION("""COMPUTED_VALUE"""),2883153.0)</f>
        <v>2883153</v>
      </c>
      <c r="M61" s="148" t="str">
        <f>IFERROR(__xludf.DUMMYFUNCTION("""COMPUTED_VALUE"""),"Achieving More through Smart Energy Management")</f>
        <v>Achieving More through Smart Energy Management</v>
      </c>
      <c r="N61" s="147" t="str">
        <f>IFERROR(__xludf.DUMMYFUNCTION("""COMPUTED_VALUE"""),"General")</f>
        <v>General</v>
      </c>
      <c r="O61" s="141" t="str">
        <f>IFERROR(__xludf.DUMMYFUNCTION("""COMPUTED_VALUE"""),"Beginner")</f>
        <v>Beginner</v>
      </c>
      <c r="P61" s="143">
        <f>IFERROR(__xludf.DUMMYFUNCTION("""COMPUTED_VALUE"""),0.01994212962962963)</f>
        <v>0.01994212963</v>
      </c>
      <c r="Q61" s="151"/>
      <c r="R61" s="140"/>
      <c r="S61" s="140"/>
    </row>
    <row r="62" ht="33.75" customHeight="1">
      <c r="A62" s="140"/>
      <c r="B62" s="140"/>
      <c r="C62" s="147"/>
      <c r="D62" s="153"/>
      <c r="E62" s="147"/>
      <c r="F62" s="141"/>
      <c r="G62" s="141"/>
      <c r="H62" s="151"/>
      <c r="I62" s="140"/>
      <c r="J62" s="140"/>
      <c r="K62" s="140"/>
      <c r="L62" s="147">
        <f>IFERROR(__xludf.DUMMYFUNCTION("""COMPUTED_VALUE"""),2887230.0)</f>
        <v>2887230</v>
      </c>
      <c r="M62" s="148" t="str">
        <f>IFERROR(__xludf.DUMMYFUNCTION("""COMPUTED_VALUE"""),"Confidence: How to Overcome Self-Doubt, Insecurity, and Fears")</f>
        <v>Confidence: How to Overcome Self-Doubt, Insecurity, and Fears</v>
      </c>
      <c r="N62" s="147" t="str">
        <f>IFERROR(__xludf.DUMMYFUNCTION("""COMPUTED_VALUE"""),"General")</f>
        <v>General</v>
      </c>
      <c r="O62" s="141" t="str">
        <f>IFERROR(__xludf.DUMMYFUNCTION("""COMPUTED_VALUE"""),"Beginner")</f>
        <v>Beginner</v>
      </c>
      <c r="P62" s="143">
        <f>IFERROR(__xludf.DUMMYFUNCTION("""COMPUTED_VALUE"""),0.046516203703703705)</f>
        <v>0.0465162037</v>
      </c>
      <c r="Q62" s="151"/>
      <c r="R62" s="140"/>
      <c r="S62" s="140"/>
    </row>
    <row r="63" ht="33.75" customHeight="1">
      <c r="A63" s="140"/>
      <c r="B63" s="140"/>
      <c r="C63" s="147"/>
      <c r="D63" s="153"/>
      <c r="E63" s="147"/>
      <c r="F63" s="141"/>
      <c r="G63" s="141"/>
      <c r="H63" s="151"/>
      <c r="I63" s="140"/>
      <c r="J63" s="140"/>
      <c r="K63" s="140"/>
      <c r="L63" s="147">
        <f>IFERROR(__xludf.DUMMYFUNCTION("""COMPUTED_VALUE"""),2892006.0)</f>
        <v>2892006</v>
      </c>
      <c r="M63" s="148" t="str">
        <f>IFERROR(__xludf.DUMMYFUNCTION("""COMPUTED_VALUE"""),"Strategies to Improve Self-Awareness")</f>
        <v>Strategies to Improve Self-Awareness</v>
      </c>
      <c r="N63" s="147" t="str">
        <f>IFERROR(__xludf.DUMMYFUNCTION("""COMPUTED_VALUE"""),"General")</f>
        <v>General</v>
      </c>
      <c r="O63" s="141" t="str">
        <f>IFERROR(__xludf.DUMMYFUNCTION("""COMPUTED_VALUE"""),"Beginner")</f>
        <v>Beginner</v>
      </c>
      <c r="P63" s="143">
        <f>IFERROR(__xludf.DUMMYFUNCTION("""COMPUTED_VALUE"""),0.03690972222222222)</f>
        <v>0.03690972222</v>
      </c>
      <c r="Q63" s="151"/>
      <c r="R63" s="140"/>
      <c r="S63" s="140"/>
    </row>
    <row r="64" ht="33.75" customHeight="1">
      <c r="A64" s="140"/>
      <c r="B64" s="140"/>
      <c r="C64" s="147"/>
      <c r="D64" s="153"/>
      <c r="E64" s="147"/>
      <c r="F64" s="141"/>
      <c r="G64" s="141"/>
      <c r="H64" s="151"/>
      <c r="I64" s="140"/>
      <c r="J64" s="140"/>
      <c r="K64" s="140"/>
      <c r="L64" s="147">
        <f>IFERROR(__xludf.DUMMYFUNCTION("""COMPUTED_VALUE"""),2895112.0)</f>
        <v>2895112</v>
      </c>
      <c r="M64" s="148" t="str">
        <f>IFERROR(__xludf.DUMMYFUNCTION("""COMPUTED_VALUE"""),"Overcoming Perfectionism")</f>
        <v>Overcoming Perfectionism</v>
      </c>
      <c r="N64" s="147" t="str">
        <f>IFERROR(__xludf.DUMMYFUNCTION("""COMPUTED_VALUE"""),"General")</f>
        <v>General</v>
      </c>
      <c r="O64" s="141" t="str">
        <f>IFERROR(__xludf.DUMMYFUNCTION("""COMPUTED_VALUE"""),"Beginner")</f>
        <v>Beginner</v>
      </c>
      <c r="P64" s="143">
        <f>IFERROR(__xludf.DUMMYFUNCTION("""COMPUTED_VALUE"""),0.036284722222222225)</f>
        <v>0.03628472222</v>
      </c>
      <c r="Q64" s="151"/>
      <c r="R64" s="140"/>
      <c r="S64" s="140"/>
    </row>
    <row r="65" ht="33.75" customHeight="1">
      <c r="A65" s="140"/>
      <c r="B65" s="140"/>
      <c r="C65" s="147"/>
      <c r="D65" s="153"/>
      <c r="E65" s="147"/>
      <c r="F65" s="141"/>
      <c r="G65" s="141"/>
      <c r="H65" s="151"/>
      <c r="I65" s="140"/>
      <c r="J65" s="140"/>
      <c r="K65" s="140"/>
      <c r="L65" s="147">
        <f>IFERROR(__xludf.DUMMYFUNCTION("""COMPUTED_VALUE"""),2890117.0)</f>
        <v>2890117</v>
      </c>
      <c r="M65" s="148" t="str">
        <f>IFERROR(__xludf.DUMMYFUNCTION("""COMPUTED_VALUE"""),"Sales Well-being: Managing Anxiety, Burnout, and Rejection")</f>
        <v>Sales Well-being: Managing Anxiety, Burnout, and Rejection</v>
      </c>
      <c r="N65" s="147" t="str">
        <f>IFERROR(__xludf.DUMMYFUNCTION("""COMPUTED_VALUE"""),"General")</f>
        <v>General</v>
      </c>
      <c r="O65" s="141" t="str">
        <f>IFERROR(__xludf.DUMMYFUNCTION("""COMPUTED_VALUE"""),"Beginner")</f>
        <v>Beginner</v>
      </c>
      <c r="P65" s="143">
        <f>IFERROR(__xludf.DUMMYFUNCTION("""COMPUTED_VALUE"""),0.032164351851851854)</f>
        <v>0.03216435185</v>
      </c>
      <c r="Q65" s="151"/>
      <c r="R65" s="140"/>
      <c r="S65" s="140"/>
    </row>
    <row r="66" ht="33.75" customHeight="1">
      <c r="A66" s="140"/>
      <c r="B66" s="140"/>
      <c r="C66" s="147"/>
      <c r="D66" s="153"/>
      <c r="E66" s="147"/>
      <c r="F66" s="141"/>
      <c r="G66" s="141"/>
      <c r="H66" s="151"/>
      <c r="I66" s="140"/>
      <c r="J66" s="140"/>
      <c r="K66" s="140"/>
      <c r="L66" s="147">
        <f>IFERROR(__xludf.DUMMYFUNCTION("""COMPUTED_VALUE"""),2423319.0)</f>
        <v>2423319</v>
      </c>
      <c r="M66" s="148" t="str">
        <f>IFERROR(__xludf.DUMMYFUNCTION("""COMPUTED_VALUE"""),"Lose Your Fear of Asking Questions at Work")</f>
        <v>Lose Your Fear of Asking Questions at Work</v>
      </c>
      <c r="N66" s="147" t="str">
        <f>IFERROR(__xludf.DUMMYFUNCTION("""COMPUTED_VALUE"""),"General")</f>
        <v>General</v>
      </c>
      <c r="O66" s="141" t="str">
        <f>IFERROR(__xludf.DUMMYFUNCTION("""COMPUTED_VALUE"""),"Beginner")</f>
        <v>Beginner</v>
      </c>
      <c r="P66" s="143">
        <f>IFERROR(__xludf.DUMMYFUNCTION("""COMPUTED_VALUE"""),0.005659722222222222)</f>
        <v>0.005659722222</v>
      </c>
      <c r="Q66" s="151"/>
      <c r="R66" s="140"/>
      <c r="S66" s="140"/>
    </row>
    <row r="67" ht="33.75" customHeight="1">
      <c r="A67" s="140"/>
      <c r="B67" s="140"/>
      <c r="C67" s="147"/>
      <c r="D67" s="153"/>
      <c r="E67" s="147"/>
      <c r="F67" s="141"/>
      <c r="G67" s="141"/>
      <c r="H67" s="151"/>
      <c r="I67" s="140"/>
      <c r="J67" s="140"/>
      <c r="K67" s="140"/>
      <c r="L67" s="147">
        <f>IFERROR(__xludf.DUMMYFUNCTION("""COMPUTED_VALUE"""),2424325.0)</f>
        <v>2424325</v>
      </c>
      <c r="M67" s="148" t="str">
        <f>IFERROR(__xludf.DUMMYFUNCTION("""COMPUTED_VALUE"""),"Vulnerability: The Workplace Superpower Disguised as a Weakness")</f>
        <v>Vulnerability: The Workplace Superpower Disguised as a Weakness</v>
      </c>
      <c r="N67" s="147" t="str">
        <f>IFERROR(__xludf.DUMMYFUNCTION("""COMPUTED_VALUE"""),"General")</f>
        <v>General</v>
      </c>
      <c r="O67" s="141" t="str">
        <f>IFERROR(__xludf.DUMMYFUNCTION("""COMPUTED_VALUE"""),"Beginner")</f>
        <v>Beginner</v>
      </c>
      <c r="P67" s="143">
        <f>IFERROR(__xludf.DUMMYFUNCTION("""COMPUTED_VALUE"""),0.007326388888888889)</f>
        <v>0.007326388889</v>
      </c>
      <c r="Q67" s="151"/>
      <c r="R67" s="140"/>
      <c r="S67" s="140"/>
    </row>
    <row r="68" ht="33.75" customHeight="1">
      <c r="A68" s="140"/>
      <c r="B68" s="140"/>
      <c r="C68" s="147"/>
      <c r="D68" s="153"/>
      <c r="E68" s="147"/>
      <c r="F68" s="141"/>
      <c r="G68" s="141"/>
      <c r="H68" s="151"/>
      <c r="I68" s="140"/>
      <c r="J68" s="140"/>
      <c r="K68" s="140"/>
      <c r="L68" s="147">
        <f>IFERROR(__xludf.DUMMYFUNCTION("""COMPUTED_VALUE"""),2882183.0)</f>
        <v>2882183</v>
      </c>
      <c r="M68" s="148" t="str">
        <f>IFERROR(__xludf.DUMMYFUNCTION("""COMPUTED_VALUE"""),"Prepare for Returning to the Workplace")</f>
        <v>Prepare for Returning to the Workplace</v>
      </c>
      <c r="N68" s="147" t="str">
        <f>IFERROR(__xludf.DUMMYFUNCTION("""COMPUTED_VALUE"""),"General")</f>
        <v>General</v>
      </c>
      <c r="O68" s="141" t="str">
        <f>IFERROR(__xludf.DUMMYFUNCTION("""COMPUTED_VALUE"""),"Beginner")</f>
        <v>Beginner</v>
      </c>
      <c r="P68" s="143">
        <f>IFERROR(__xludf.DUMMYFUNCTION("""COMPUTED_VALUE"""),0.02980324074074074)</f>
        <v>0.02980324074</v>
      </c>
      <c r="Q68" s="151"/>
      <c r="R68" s="140"/>
      <c r="S68" s="140"/>
    </row>
    <row r="69" ht="33.75" customHeight="1">
      <c r="A69" s="140"/>
      <c r="B69" s="140"/>
      <c r="C69" s="147"/>
      <c r="D69" s="153"/>
      <c r="E69" s="147"/>
      <c r="F69" s="141"/>
      <c r="G69" s="141"/>
      <c r="H69" s="151"/>
      <c r="I69" s="140"/>
      <c r="J69" s="140"/>
      <c r="K69" s="140"/>
      <c r="L69" s="147">
        <f>IFERROR(__xludf.DUMMYFUNCTION("""COMPUTED_VALUE"""),2889101.0)</f>
        <v>2889101</v>
      </c>
      <c r="M69" s="148" t="str">
        <f>IFERROR(__xludf.DUMMYFUNCTION("""COMPUTED_VALUE"""),"Aligning Your Values with Work, Life, and Everything In Between")</f>
        <v>Aligning Your Values with Work, Life, and Everything In Between</v>
      </c>
      <c r="N69" s="147" t="str">
        <f>IFERROR(__xludf.DUMMYFUNCTION("""COMPUTED_VALUE"""),"General")</f>
        <v>General</v>
      </c>
      <c r="O69" s="141" t="str">
        <f>IFERROR(__xludf.DUMMYFUNCTION("""COMPUTED_VALUE"""),"Beginner")</f>
        <v>Beginner</v>
      </c>
      <c r="P69" s="143">
        <f>IFERROR(__xludf.DUMMYFUNCTION("""COMPUTED_VALUE"""),0.026851851851851852)</f>
        <v>0.02685185185</v>
      </c>
      <c r="Q69" s="151"/>
      <c r="R69" s="140"/>
      <c r="S69" s="140"/>
    </row>
    <row r="70" ht="33.75" customHeight="1">
      <c r="A70" s="140"/>
      <c r="B70" s="140"/>
      <c r="C70" s="147"/>
      <c r="D70" s="153"/>
      <c r="E70" s="147"/>
      <c r="F70" s="141"/>
      <c r="G70" s="141"/>
      <c r="H70" s="151"/>
      <c r="I70" s="140"/>
      <c r="J70" s="140"/>
      <c r="K70" s="140"/>
      <c r="L70" s="147">
        <f>IFERROR(__xludf.DUMMYFUNCTION("""COMPUTED_VALUE"""),2424324.0)</f>
        <v>2424324</v>
      </c>
      <c r="M70" s="148" t="str">
        <f>IFERROR(__xludf.DUMMYFUNCTION("""COMPUTED_VALUE"""),"How to Use Rejection to Your Advantage")</f>
        <v>How to Use Rejection to Your Advantage</v>
      </c>
      <c r="N70" s="147" t="str">
        <f>IFERROR(__xludf.DUMMYFUNCTION("""COMPUTED_VALUE"""),"General")</f>
        <v>General</v>
      </c>
      <c r="O70" s="141" t="str">
        <f>IFERROR(__xludf.DUMMYFUNCTION("""COMPUTED_VALUE"""),"Beginner")</f>
        <v>Beginner</v>
      </c>
      <c r="P70" s="143">
        <f>IFERROR(__xludf.DUMMYFUNCTION("""COMPUTED_VALUE"""),0.005439814814814815)</f>
        <v>0.005439814815</v>
      </c>
      <c r="Q70" s="151"/>
      <c r="R70" s="140"/>
      <c r="S70" s="140"/>
    </row>
    <row r="71" ht="33.75" customHeight="1">
      <c r="A71" s="140"/>
      <c r="B71" s="140"/>
      <c r="C71" s="147"/>
      <c r="D71" s="153"/>
      <c r="E71" s="147"/>
      <c r="F71" s="141"/>
      <c r="G71" s="141"/>
      <c r="H71" s="151"/>
      <c r="I71" s="140"/>
      <c r="J71" s="140"/>
      <c r="K71" s="140"/>
      <c r="L71" s="147">
        <f>IFERROR(__xludf.DUMMYFUNCTION("""COMPUTED_VALUE"""),3152728.0)</f>
        <v>3152728</v>
      </c>
      <c r="M71" s="148" t="str">
        <f>IFERROR(__xludf.DUMMYFUNCTION("""COMPUTED_VALUE"""),"Mindful Team Building")</f>
        <v>Mindful Team Building</v>
      </c>
      <c r="N71" s="147" t="str">
        <f>IFERROR(__xludf.DUMMYFUNCTION("""COMPUTED_VALUE"""),"General")</f>
        <v>General</v>
      </c>
      <c r="O71" s="141" t="str">
        <f>IFERROR(__xludf.DUMMYFUNCTION("""COMPUTED_VALUE"""),"Beginner")</f>
        <v>Beginner</v>
      </c>
      <c r="P71" s="143">
        <f>IFERROR(__xludf.DUMMYFUNCTION("""COMPUTED_VALUE"""),0.02539351851851852)</f>
        <v>0.02539351852</v>
      </c>
      <c r="Q71" s="151"/>
      <c r="R71" s="140"/>
      <c r="S71" s="140"/>
    </row>
    <row r="72" ht="33.75" customHeight="1">
      <c r="A72" s="140"/>
      <c r="B72" s="140"/>
      <c r="C72" s="147"/>
      <c r="D72" s="153"/>
      <c r="E72" s="147"/>
      <c r="F72" s="141"/>
      <c r="G72" s="141"/>
      <c r="H72" s="151"/>
      <c r="I72" s="140"/>
      <c r="J72" s="140"/>
      <c r="K72" s="140"/>
      <c r="L72" s="147">
        <f>IFERROR(__xludf.DUMMYFUNCTION("""COMPUTED_VALUE"""),3151765.0)</f>
        <v>3151765</v>
      </c>
      <c r="M72" s="148" t="str">
        <f>IFERROR(__xludf.DUMMYFUNCTION("""COMPUTED_VALUE"""),"Improving Emotional Intelligence with Mindfulness")</f>
        <v>Improving Emotional Intelligence with Mindfulness</v>
      </c>
      <c r="N72" s="147" t="str">
        <f>IFERROR(__xludf.DUMMYFUNCTION("""COMPUTED_VALUE"""),"General")</f>
        <v>General</v>
      </c>
      <c r="O72" s="141" t="str">
        <f>IFERROR(__xludf.DUMMYFUNCTION("""COMPUTED_VALUE"""),"Beginner")</f>
        <v>Beginner</v>
      </c>
      <c r="P72" s="143">
        <f>IFERROR(__xludf.DUMMYFUNCTION("""COMPUTED_VALUE"""),0.02454861111111111)</f>
        <v>0.02454861111</v>
      </c>
      <c r="Q72" s="151"/>
      <c r="R72" s="140"/>
      <c r="S72" s="140"/>
    </row>
    <row r="73" ht="33.75" customHeight="1">
      <c r="A73" s="140"/>
      <c r="B73" s="140"/>
      <c r="C73" s="147"/>
      <c r="D73" s="153"/>
      <c r="E73" s="147"/>
      <c r="F73" s="141"/>
      <c r="G73" s="141"/>
      <c r="H73" s="151"/>
      <c r="I73" s="140"/>
      <c r="J73" s="140"/>
      <c r="K73" s="140"/>
      <c r="L73" s="147">
        <f>IFERROR(__xludf.DUMMYFUNCTION("""COMPUTED_VALUE"""),3155790.0)</f>
        <v>3155790</v>
      </c>
      <c r="M73" s="148" t="str">
        <f>IFERROR(__xludf.DUMMYFUNCTION("""COMPUTED_VALUE"""),"Mindful Eating")</f>
        <v>Mindful Eating</v>
      </c>
      <c r="N73" s="147" t="str">
        <f>IFERROR(__xludf.DUMMYFUNCTION("""COMPUTED_VALUE"""),"General")</f>
        <v>General</v>
      </c>
      <c r="O73" s="141" t="str">
        <f>IFERROR(__xludf.DUMMYFUNCTION("""COMPUTED_VALUE"""),"Beginner")</f>
        <v>Beginner</v>
      </c>
      <c r="P73" s="143">
        <f>IFERROR(__xludf.DUMMYFUNCTION("""COMPUTED_VALUE"""),0.024166666666666666)</f>
        <v>0.02416666667</v>
      </c>
      <c r="Q73" s="151"/>
      <c r="R73" s="140"/>
      <c r="S73" s="140"/>
    </row>
    <row r="74" ht="33.75" customHeight="1">
      <c r="A74" s="140"/>
      <c r="B74" s="140"/>
      <c r="C74" s="147"/>
      <c r="D74" s="153"/>
      <c r="E74" s="147"/>
      <c r="F74" s="141"/>
      <c r="G74" s="141"/>
      <c r="H74" s="151"/>
      <c r="I74" s="140"/>
      <c r="J74" s="140"/>
      <c r="K74" s="140"/>
      <c r="L74" s="147">
        <f>IFERROR(__xludf.DUMMYFUNCTION("""COMPUTED_VALUE"""),3154786.0)</f>
        <v>3154786</v>
      </c>
      <c r="M74" s="148" t="str">
        <f>IFERROR(__xludf.DUMMYFUNCTION("""COMPUTED_VALUE"""),"Mindfulness, Diversity, and the Quest for Inclusion")</f>
        <v>Mindfulness, Diversity, and the Quest for Inclusion</v>
      </c>
      <c r="N74" s="147" t="str">
        <f>IFERROR(__xludf.DUMMYFUNCTION("""COMPUTED_VALUE"""),"General")</f>
        <v>General</v>
      </c>
      <c r="O74" s="141" t="str">
        <f>IFERROR(__xludf.DUMMYFUNCTION("""COMPUTED_VALUE"""),"Beginner")</f>
        <v>Beginner</v>
      </c>
      <c r="P74" s="143">
        <f>IFERROR(__xludf.DUMMYFUNCTION("""COMPUTED_VALUE"""),0.02710648148148148)</f>
        <v>0.02710648148</v>
      </c>
      <c r="Q74" s="151"/>
      <c r="R74" s="140"/>
      <c r="S74" s="140"/>
    </row>
    <row r="75" ht="33.75" customHeight="1">
      <c r="A75" s="140"/>
      <c r="B75" s="140"/>
      <c r="C75" s="147"/>
      <c r="D75" s="153"/>
      <c r="E75" s="147"/>
      <c r="F75" s="141"/>
      <c r="G75" s="141"/>
      <c r="H75" s="151"/>
      <c r="I75" s="140"/>
      <c r="J75" s="140"/>
      <c r="K75" s="140"/>
      <c r="L75" s="147">
        <f>IFERROR(__xludf.DUMMYFUNCTION("""COMPUTED_VALUE"""),2424736.0)</f>
        <v>2424736</v>
      </c>
      <c r="M75" s="148" t="str">
        <f>IFERROR(__xludf.DUMMYFUNCTION("""COMPUTED_VALUE"""),"Habits for Becoming Your Most Effective Self")</f>
        <v>Habits for Becoming Your Most Effective Self</v>
      </c>
      <c r="N75" s="147" t="str">
        <f>IFERROR(__xludf.DUMMYFUNCTION("""COMPUTED_VALUE"""),"General")</f>
        <v>General</v>
      </c>
      <c r="O75" s="141" t="str">
        <f>IFERROR(__xludf.DUMMYFUNCTION("""COMPUTED_VALUE"""),"Beginner")</f>
        <v>Beginner</v>
      </c>
      <c r="P75" s="143">
        <f>IFERROR(__xludf.DUMMYFUNCTION("""COMPUTED_VALUE"""),0.04407407407407407)</f>
        <v>0.04407407407</v>
      </c>
      <c r="Q75" s="151"/>
      <c r="R75" s="140"/>
      <c r="S75" s="140"/>
    </row>
    <row r="76" ht="33.75" customHeight="1">
      <c r="A76" s="140"/>
      <c r="B76" s="140"/>
      <c r="C76" s="147"/>
      <c r="D76" s="153"/>
      <c r="E76" s="147"/>
      <c r="F76" s="141"/>
      <c r="G76" s="141"/>
      <c r="H76" s="151"/>
      <c r="I76" s="140"/>
      <c r="J76" s="140"/>
      <c r="K76" s="140"/>
      <c r="L76" s="147">
        <f>IFERROR(__xludf.DUMMYFUNCTION("""COMPUTED_VALUE"""),2425284.0)</f>
        <v>2425284</v>
      </c>
      <c r="M76" s="150" t="str">
        <f>IFERROR(__xludf.DUMMYFUNCTION("""COMPUTED_VALUE"""),"Manage Burnout at Work with These Simple Strategies")</f>
        <v>Manage Burnout at Work with These Simple Strategies</v>
      </c>
      <c r="N76" s="147" t="str">
        <f>IFERROR(__xludf.DUMMYFUNCTION("""COMPUTED_VALUE"""),"General")</f>
        <v>General</v>
      </c>
      <c r="O76" s="141" t="str">
        <f>IFERROR(__xludf.DUMMYFUNCTION("""COMPUTED_VALUE"""),"Beginner")</f>
        <v>Beginner</v>
      </c>
      <c r="P76" s="143">
        <f>IFERROR(__xludf.DUMMYFUNCTION("""COMPUTED_VALUE"""),0.006354166666666667)</f>
        <v>0.006354166667</v>
      </c>
      <c r="Q76" s="151"/>
      <c r="R76" s="140"/>
      <c r="S76" s="140"/>
    </row>
    <row r="77" ht="33.75" customHeight="1">
      <c r="A77" s="140"/>
      <c r="B77" s="140"/>
      <c r="C77" s="147"/>
      <c r="D77" s="153"/>
      <c r="E77" s="147"/>
      <c r="F77" s="141"/>
      <c r="G77" s="141"/>
      <c r="H77" s="151"/>
      <c r="I77" s="140"/>
      <c r="J77" s="140"/>
      <c r="K77" s="140"/>
      <c r="L77" s="147">
        <f>IFERROR(__xludf.DUMMYFUNCTION("""COMPUTED_VALUE"""),3004700.0)</f>
        <v>3004700</v>
      </c>
      <c r="M77" s="150" t="str">
        <f>IFERROR(__xludf.DUMMYFUNCTION("""COMPUTED_VALUE"""),"Don't Take Yes for an Answer (Blinkist Summary)")</f>
        <v>Don't Take Yes for an Answer (Blinkist Summary)</v>
      </c>
      <c r="N77" s="147" t="str">
        <f>IFERROR(__xludf.DUMMYFUNCTION("""COMPUTED_VALUE"""),"General")</f>
        <v>General</v>
      </c>
      <c r="O77" s="141" t="str">
        <f>IFERROR(__xludf.DUMMYFUNCTION("""COMPUTED_VALUE"""),"Beginner")</f>
        <v>Beginner</v>
      </c>
      <c r="P77" s="143">
        <f>IFERROR(__xludf.DUMMYFUNCTION("""COMPUTED_VALUE"""),0.01611111111111111)</f>
        <v>0.01611111111</v>
      </c>
      <c r="Q77" s="151"/>
      <c r="R77" s="140"/>
      <c r="S77" s="140"/>
    </row>
    <row r="78" ht="33.75" customHeight="1">
      <c r="A78" s="140"/>
      <c r="B78" s="140"/>
      <c r="C78" s="147"/>
      <c r="D78" s="153"/>
      <c r="E78" s="147"/>
      <c r="F78" s="141"/>
      <c r="G78" s="141"/>
      <c r="H78" s="151"/>
      <c r="I78" s="140"/>
      <c r="J78" s="140"/>
      <c r="K78" s="140"/>
      <c r="L78" s="147">
        <f>IFERROR(__xludf.DUMMYFUNCTION("""COMPUTED_VALUE"""),3006179.0)</f>
        <v>3006179</v>
      </c>
      <c r="M78" s="150" t="str">
        <f>IFERROR(__xludf.DUMMYFUNCTION("""COMPUTED_VALUE"""),"Strategies to Get (and Stay) Unstuck")</f>
        <v>Strategies to Get (and Stay) Unstuck</v>
      </c>
      <c r="N78" s="147" t="str">
        <f>IFERROR(__xludf.DUMMYFUNCTION("""COMPUTED_VALUE"""),"General")</f>
        <v>General</v>
      </c>
      <c r="O78" s="141" t="str">
        <f>IFERROR(__xludf.DUMMYFUNCTION("""COMPUTED_VALUE"""),"Beginner")</f>
        <v>Beginner</v>
      </c>
      <c r="P78" s="143">
        <f>IFERROR(__xludf.DUMMYFUNCTION("""COMPUTED_VALUE"""),0.03826388888888889)</f>
        <v>0.03826388889</v>
      </c>
      <c r="Q78" s="151"/>
      <c r="R78" s="140"/>
      <c r="S78" s="140"/>
    </row>
    <row r="79" ht="33.75" customHeight="1">
      <c r="A79" s="140"/>
      <c r="B79" s="140"/>
      <c r="C79" s="147"/>
      <c r="D79" s="153"/>
      <c r="E79" s="147"/>
      <c r="F79" s="141"/>
      <c r="G79" s="141"/>
      <c r="H79" s="151"/>
      <c r="I79" s="140"/>
      <c r="J79" s="140"/>
      <c r="K79" s="140"/>
      <c r="L79" s="147">
        <f>IFERROR(__xludf.DUMMYFUNCTION("""COMPUTED_VALUE"""),3007151.0)</f>
        <v>3007151</v>
      </c>
      <c r="M79" s="150" t="str">
        <f>IFERROR(__xludf.DUMMYFUNCTION("""COMPUTED_VALUE"""),"Mindset (Blinkist Summary)")</f>
        <v>Mindset (Blinkist Summary)</v>
      </c>
      <c r="N79" s="147" t="str">
        <f>IFERROR(__xludf.DUMMYFUNCTION("""COMPUTED_VALUE"""),"General")</f>
        <v>General</v>
      </c>
      <c r="O79" s="141" t="str">
        <f>IFERROR(__xludf.DUMMYFUNCTION("""COMPUTED_VALUE"""),"Beginner")</f>
        <v>Beginner</v>
      </c>
      <c r="P79" s="143">
        <f>IFERROR(__xludf.DUMMYFUNCTION("""COMPUTED_VALUE"""),0.010289351851851852)</f>
        <v>0.01028935185</v>
      </c>
      <c r="Q79" s="151"/>
      <c r="R79" s="140"/>
      <c r="S79" s="140"/>
    </row>
    <row r="80" ht="33.75" customHeight="1">
      <c r="A80" s="140"/>
      <c r="B80" s="140"/>
      <c r="C80" s="147"/>
      <c r="D80" s="153"/>
      <c r="E80" s="147"/>
      <c r="F80" s="141"/>
      <c r="G80" s="141"/>
      <c r="H80" s="151"/>
      <c r="I80" s="140"/>
      <c r="J80" s="140"/>
      <c r="K80" s="140"/>
      <c r="L80" s="147">
        <f>IFERROR(__xludf.DUMMYFUNCTION("""COMPUTED_VALUE"""),3013333.0)</f>
        <v>3013333</v>
      </c>
      <c r="M80" s="150" t="str">
        <f>IFERROR(__xludf.DUMMYFUNCTION("""COMPUTED_VALUE"""),"Upgrading Your Confidence and Courage at Work")</f>
        <v>Upgrading Your Confidence and Courage at Work</v>
      </c>
      <c r="N80" s="147" t="str">
        <f>IFERROR(__xludf.DUMMYFUNCTION("""COMPUTED_VALUE"""),"General")</f>
        <v>General</v>
      </c>
      <c r="O80" s="141" t="str">
        <f>IFERROR(__xludf.DUMMYFUNCTION("""COMPUTED_VALUE"""),"Beginner")</f>
        <v>Beginner</v>
      </c>
      <c r="P80" s="143">
        <f>IFERROR(__xludf.DUMMYFUNCTION("""COMPUTED_VALUE"""),0.015509259259259259)</f>
        <v>0.01550925926</v>
      </c>
      <c r="Q80" s="151"/>
      <c r="R80" s="140"/>
      <c r="S80" s="140"/>
    </row>
    <row r="81" ht="33.75" customHeight="1">
      <c r="A81" s="140"/>
      <c r="B81" s="140"/>
      <c r="C81" s="147"/>
      <c r="D81" s="153"/>
      <c r="E81" s="147"/>
      <c r="F81" s="141"/>
      <c r="G81" s="141"/>
      <c r="H81" s="151"/>
      <c r="I81" s="140"/>
      <c r="J81" s="140"/>
      <c r="K81" s="140"/>
      <c r="L81" s="147">
        <f>IFERROR(__xludf.DUMMYFUNCTION("""COMPUTED_VALUE"""),3010525.0)</f>
        <v>3010525</v>
      </c>
      <c r="M81" s="150" t="str">
        <f>IFERROR(__xludf.DUMMYFUNCTION("""COMPUTED_VALUE"""),"Developing Your Authentic Self to Ignite Change")</f>
        <v>Developing Your Authentic Self to Ignite Change</v>
      </c>
      <c r="N81" s="147" t="str">
        <f>IFERROR(__xludf.DUMMYFUNCTION("""COMPUTED_VALUE"""),"General")</f>
        <v>General</v>
      </c>
      <c r="O81" s="141" t="str">
        <f>IFERROR(__xludf.DUMMYFUNCTION("""COMPUTED_VALUE"""),"Beginner")</f>
        <v>Beginner</v>
      </c>
      <c r="P81" s="143">
        <f>IFERROR(__xludf.DUMMYFUNCTION("""COMPUTED_VALUE"""),0.03876157407407407)</f>
        <v>0.03876157407</v>
      </c>
      <c r="Q81" s="151"/>
      <c r="R81" s="140"/>
      <c r="S81" s="140"/>
    </row>
    <row r="82" ht="33.75" customHeight="1">
      <c r="A82" s="140"/>
      <c r="B82" s="140"/>
      <c r="C82" s="147"/>
      <c r="D82" s="153"/>
      <c r="E82" s="147"/>
      <c r="F82" s="141"/>
      <c r="G82" s="141"/>
      <c r="H82" s="151"/>
      <c r="I82" s="140"/>
      <c r="J82" s="140"/>
      <c r="K82" s="140"/>
      <c r="L82" s="147">
        <f>IFERROR(__xludf.DUMMYFUNCTION("""COMPUTED_VALUE"""),3010972.0)</f>
        <v>3010972</v>
      </c>
      <c r="M82" s="150" t="str">
        <f>IFERROR(__xludf.DUMMYFUNCTION("""COMPUTED_VALUE"""),"Conquering Freak-Outs and the Fear of Failure")</f>
        <v>Conquering Freak-Outs and the Fear of Failure</v>
      </c>
      <c r="N82" s="147" t="str">
        <f>IFERROR(__xludf.DUMMYFUNCTION("""COMPUTED_VALUE"""),"General")</f>
        <v>General</v>
      </c>
      <c r="O82" s="141" t="str">
        <f>IFERROR(__xludf.DUMMYFUNCTION("""COMPUTED_VALUE"""),"Beginner")</f>
        <v>Beginner</v>
      </c>
      <c r="P82" s="143">
        <f>IFERROR(__xludf.DUMMYFUNCTION("""COMPUTED_VALUE"""),0.012523148148148148)</f>
        <v>0.01252314815</v>
      </c>
      <c r="Q82" s="151"/>
      <c r="R82" s="140"/>
      <c r="S82" s="140"/>
    </row>
    <row r="83" ht="33.75" customHeight="1">
      <c r="A83" s="140"/>
      <c r="B83" s="140"/>
      <c r="C83" s="147"/>
      <c r="D83" s="153"/>
      <c r="E83" s="147"/>
      <c r="F83" s="141"/>
      <c r="G83" s="141"/>
      <c r="H83" s="151"/>
      <c r="I83" s="140"/>
      <c r="J83" s="140"/>
      <c r="K83" s="140"/>
      <c r="L83" s="147">
        <f>IFERROR(__xludf.DUMMYFUNCTION("""COMPUTED_VALUE"""),3158741.0)</f>
        <v>3158741</v>
      </c>
      <c r="M83" s="150" t="str">
        <f>IFERROR(__xludf.DUMMYFUNCTION("""COMPUTED_VALUE"""),"Mindfulness: A Critical Skill for Project Managers")</f>
        <v>Mindfulness: A Critical Skill for Project Managers</v>
      </c>
      <c r="N83" s="147" t="str">
        <f>IFERROR(__xludf.DUMMYFUNCTION("""COMPUTED_VALUE"""),"General")</f>
        <v>General</v>
      </c>
      <c r="O83" s="141" t="str">
        <f>IFERROR(__xludf.DUMMYFUNCTION("""COMPUTED_VALUE"""),"Beginner")</f>
        <v>Beginner</v>
      </c>
      <c r="P83" s="143">
        <f>IFERROR(__xludf.DUMMYFUNCTION("""COMPUTED_VALUE"""),0.026539351851851852)</f>
        <v>0.02653935185</v>
      </c>
      <c r="Q83" s="151"/>
      <c r="R83" s="140"/>
      <c r="S83" s="140"/>
    </row>
    <row r="84" ht="33.75" customHeight="1">
      <c r="A84" s="140"/>
      <c r="B84" s="140"/>
      <c r="C84" s="147"/>
      <c r="D84" s="153"/>
      <c r="E84" s="147"/>
      <c r="F84" s="141"/>
      <c r="G84" s="141"/>
      <c r="H84" s="151"/>
      <c r="I84" s="140"/>
      <c r="J84" s="140"/>
      <c r="K84" s="140"/>
      <c r="L84" s="147">
        <f>IFERROR(__xludf.DUMMYFUNCTION("""COMPUTED_VALUE"""),3006798.0)</f>
        <v>3006798</v>
      </c>
      <c r="M84" s="150" t="str">
        <f>IFERROR(__xludf.DUMMYFUNCTION("""COMPUTED_VALUE"""),"How to Have a Happier Workweek")</f>
        <v>How to Have a Happier Workweek</v>
      </c>
      <c r="N84" s="147" t="str">
        <f>IFERROR(__xludf.DUMMYFUNCTION("""COMPUTED_VALUE"""),"General")</f>
        <v>General</v>
      </c>
      <c r="O84" s="141" t="str">
        <f>IFERROR(__xludf.DUMMYFUNCTION("""COMPUTED_VALUE"""),"Beginner")</f>
        <v>Beginner</v>
      </c>
      <c r="P84" s="143">
        <f>IFERROR(__xludf.DUMMYFUNCTION("""COMPUTED_VALUE"""),0.017083333333333332)</f>
        <v>0.01708333333</v>
      </c>
      <c r="Q84" s="151"/>
      <c r="R84" s="140"/>
      <c r="S84" s="140"/>
    </row>
    <row r="85" ht="33.75" customHeight="1">
      <c r="A85" s="140"/>
      <c r="B85" s="140"/>
      <c r="C85" s="147"/>
      <c r="D85" s="153"/>
      <c r="E85" s="147"/>
      <c r="F85" s="141"/>
      <c r="G85" s="141"/>
      <c r="H85" s="151"/>
      <c r="I85" s="140"/>
      <c r="J85" s="140"/>
      <c r="K85" s="140"/>
      <c r="L85" s="147">
        <f>IFERROR(__xludf.DUMMYFUNCTION("""COMPUTED_VALUE"""),3010973.0)</f>
        <v>3010973</v>
      </c>
      <c r="M85" s="150" t="str">
        <f>IFERROR(__xludf.DUMMYFUNCTION("""COMPUTED_VALUE"""),"How to Find and Use Your Strengths")</f>
        <v>How to Find and Use Your Strengths</v>
      </c>
      <c r="N85" s="147" t="str">
        <f>IFERROR(__xludf.DUMMYFUNCTION("""COMPUTED_VALUE"""),"General")</f>
        <v>General</v>
      </c>
      <c r="O85" s="141" t="str">
        <f>IFERROR(__xludf.DUMMYFUNCTION("""COMPUTED_VALUE"""),"Beginner")</f>
        <v>Beginner</v>
      </c>
      <c r="P85" s="143">
        <f>IFERROR(__xludf.DUMMYFUNCTION("""COMPUTED_VALUE"""),0.022858796296296297)</f>
        <v>0.0228587963</v>
      </c>
      <c r="Q85" s="151"/>
      <c r="R85" s="140"/>
      <c r="S85" s="140"/>
    </row>
    <row r="86" ht="33.75" customHeight="1">
      <c r="A86" s="140"/>
      <c r="B86" s="140"/>
      <c r="C86" s="147"/>
      <c r="D86" s="153"/>
      <c r="E86" s="147"/>
      <c r="F86" s="141"/>
      <c r="G86" s="141"/>
      <c r="H86" s="151"/>
      <c r="I86" s="140"/>
      <c r="J86" s="140"/>
      <c r="K86" s="140"/>
      <c r="L86" s="147">
        <f>IFERROR(__xludf.DUMMYFUNCTION("""COMPUTED_VALUE"""),3011747.0)</f>
        <v>3011747</v>
      </c>
      <c r="M86" s="150" t="str">
        <f>IFERROR(__xludf.DUMMYFUNCTION("""COMPUTED_VALUE"""),"Increasing Confidence by Increasing Self-Awareness")</f>
        <v>Increasing Confidence by Increasing Self-Awareness</v>
      </c>
      <c r="N86" s="147" t="str">
        <f>IFERROR(__xludf.DUMMYFUNCTION("""COMPUTED_VALUE"""),"General")</f>
        <v>General</v>
      </c>
      <c r="O86" s="141" t="str">
        <f>IFERROR(__xludf.DUMMYFUNCTION("""COMPUTED_VALUE"""),"Beginner")</f>
        <v>Beginner</v>
      </c>
      <c r="P86" s="143">
        <f>IFERROR(__xludf.DUMMYFUNCTION("""COMPUTED_VALUE"""),0.01664351851851852)</f>
        <v>0.01664351852</v>
      </c>
      <c r="Q86" s="151"/>
      <c r="R86" s="140"/>
      <c r="S86" s="140"/>
    </row>
    <row r="87" ht="33.75" customHeight="1">
      <c r="A87" s="140"/>
      <c r="B87" s="140"/>
      <c r="C87" s="147"/>
      <c r="D87" s="153"/>
      <c r="E87" s="147"/>
      <c r="F87" s="141"/>
      <c r="G87" s="141"/>
      <c r="H87" s="151"/>
      <c r="I87" s="140"/>
      <c r="J87" s="140"/>
      <c r="K87" s="140"/>
      <c r="L87" s="147">
        <f>IFERROR(__xludf.DUMMYFUNCTION("""COMPUTED_VALUE"""),2448226.0)</f>
        <v>2448226</v>
      </c>
      <c r="M87" s="150" t="str">
        <f>IFERROR(__xludf.DUMMYFUNCTION("""COMPUTED_VALUE"""),"Emotional Intelligence Basics")</f>
        <v>Emotional Intelligence Basics</v>
      </c>
      <c r="N87" s="147" t="str">
        <f>IFERROR(__xludf.DUMMYFUNCTION("""COMPUTED_VALUE"""),"General")</f>
        <v>General</v>
      </c>
      <c r="O87" s="141" t="str">
        <f>IFERROR(__xludf.DUMMYFUNCTION("""COMPUTED_VALUE"""),"Beginner")</f>
        <v>Beginner</v>
      </c>
      <c r="P87" s="143">
        <f>IFERROR(__xludf.DUMMYFUNCTION("""COMPUTED_VALUE"""),0.04488425925925926)</f>
        <v>0.04488425926</v>
      </c>
      <c r="Q87" s="151"/>
      <c r="R87" s="140"/>
      <c r="S87" s="140"/>
    </row>
    <row r="88" ht="33.75" customHeight="1">
      <c r="A88" s="140"/>
      <c r="B88" s="140"/>
      <c r="C88" s="147"/>
      <c r="D88" s="153"/>
      <c r="E88" s="147"/>
      <c r="F88" s="141"/>
      <c r="G88" s="141"/>
      <c r="H88" s="151"/>
      <c r="I88" s="140"/>
      <c r="J88" s="140"/>
      <c r="K88" s="140"/>
      <c r="L88" s="147">
        <f>IFERROR(__xludf.DUMMYFUNCTION("""COMPUTED_VALUE"""),2449167.0)</f>
        <v>2449167</v>
      </c>
      <c r="M88" s="150" t="str">
        <f>IFERROR(__xludf.DUMMYFUNCTION("""COMPUTED_VALUE"""),"Managing Your Energy")</f>
        <v>Managing Your Energy</v>
      </c>
      <c r="N88" s="147" t="str">
        <f>IFERROR(__xludf.DUMMYFUNCTION("""COMPUTED_VALUE"""),"General")</f>
        <v>General</v>
      </c>
      <c r="O88" s="141" t="str">
        <f>IFERROR(__xludf.DUMMYFUNCTION("""COMPUTED_VALUE"""),"Beginner")</f>
        <v>Beginner</v>
      </c>
      <c r="P88" s="143">
        <f>IFERROR(__xludf.DUMMYFUNCTION("""COMPUTED_VALUE"""),0.02539351851851852)</f>
        <v>0.02539351852</v>
      </c>
      <c r="Q88" s="151"/>
      <c r="R88" s="140"/>
      <c r="S88" s="140"/>
    </row>
    <row r="89" ht="33.75" customHeight="1">
      <c r="A89" s="140"/>
      <c r="B89" s="140"/>
      <c r="C89" s="147"/>
      <c r="D89" s="153"/>
      <c r="E89" s="147"/>
      <c r="F89" s="141"/>
      <c r="G89" s="141"/>
      <c r="H89" s="151"/>
      <c r="I89" s="140"/>
      <c r="J89" s="140"/>
      <c r="K89" s="140"/>
      <c r="L89" s="147">
        <f>IFERROR(__xludf.DUMMYFUNCTION("""COMPUTED_VALUE"""),2450159.0)</f>
        <v>2450159</v>
      </c>
      <c r="M89" s="150" t="str">
        <f>IFERROR(__xludf.DUMMYFUNCTION("""COMPUTED_VALUE"""),"Building Better Routines")</f>
        <v>Building Better Routines</v>
      </c>
      <c r="N89" s="147" t="str">
        <f>IFERROR(__xludf.DUMMYFUNCTION("""COMPUTED_VALUE"""),"General")</f>
        <v>General</v>
      </c>
      <c r="O89" s="141" t="str">
        <f>IFERROR(__xludf.DUMMYFUNCTION("""COMPUTED_VALUE"""),"Beginner")</f>
        <v>Beginner</v>
      </c>
      <c r="P89" s="143">
        <f>IFERROR(__xludf.DUMMYFUNCTION("""COMPUTED_VALUE"""),0.03071759259259259)</f>
        <v>0.03071759259</v>
      </c>
      <c r="Q89" s="151"/>
      <c r="R89" s="140"/>
      <c r="S89" s="140"/>
    </row>
    <row r="90" ht="33.75" customHeight="1">
      <c r="A90" s="140"/>
      <c r="B90" s="140"/>
      <c r="C90" s="147"/>
      <c r="D90" s="153"/>
      <c r="E90" s="147"/>
      <c r="F90" s="141"/>
      <c r="G90" s="141"/>
      <c r="H90" s="151"/>
      <c r="I90" s="140"/>
      <c r="J90" s="140"/>
      <c r="K90" s="140"/>
      <c r="L90" s="147">
        <f>IFERROR(__xludf.DUMMYFUNCTION("""COMPUTED_VALUE"""),3006556.0)</f>
        <v>3006556</v>
      </c>
      <c r="M90" s="150" t="str">
        <f>IFERROR(__xludf.DUMMYFUNCTION("""COMPUTED_VALUE"""),"Head Strong (Blinkist Summary)")</f>
        <v>Head Strong (Blinkist Summary)</v>
      </c>
      <c r="N90" s="147" t="str">
        <f>IFERROR(__xludf.DUMMYFUNCTION("""COMPUTED_VALUE"""),"General")</f>
        <v>General</v>
      </c>
      <c r="O90" s="141" t="str">
        <f>IFERROR(__xludf.DUMMYFUNCTION("""COMPUTED_VALUE"""),"Beginner")</f>
        <v>Beginner</v>
      </c>
      <c r="P90" s="143">
        <f>IFERROR(__xludf.DUMMYFUNCTION("""COMPUTED_VALUE"""),0.013090277777777777)</f>
        <v>0.01309027778</v>
      </c>
      <c r="Q90" s="151"/>
      <c r="R90" s="140"/>
      <c r="S90" s="140"/>
    </row>
    <row r="91" ht="33.75" customHeight="1">
      <c r="A91" s="140"/>
      <c r="B91" s="140"/>
      <c r="C91" s="147"/>
      <c r="D91" s="153"/>
      <c r="E91" s="147"/>
      <c r="F91" s="141"/>
      <c r="G91" s="141"/>
      <c r="H91" s="151"/>
      <c r="I91" s="140"/>
      <c r="J91" s="140"/>
      <c r="K91" s="140"/>
      <c r="L91" s="147">
        <f>IFERROR(__xludf.DUMMYFUNCTION("""COMPUTED_VALUE"""),3007802.0)</f>
        <v>3007802</v>
      </c>
      <c r="M91" s="150" t="str">
        <f>IFERROR(__xludf.DUMMYFUNCTION("""COMPUTED_VALUE"""),"Stop Overthinking and Manage Your Inner Critic")</f>
        <v>Stop Overthinking and Manage Your Inner Critic</v>
      </c>
      <c r="N91" s="147" t="str">
        <f>IFERROR(__xludf.DUMMYFUNCTION("""COMPUTED_VALUE"""),"General")</f>
        <v>General</v>
      </c>
      <c r="O91" s="141" t="str">
        <f>IFERROR(__xludf.DUMMYFUNCTION("""COMPUTED_VALUE"""),"Beginner")</f>
        <v>Beginner</v>
      </c>
      <c r="P91" s="143">
        <f>IFERROR(__xludf.DUMMYFUNCTION("""COMPUTED_VALUE"""),0.019560185185185184)</f>
        <v>0.01956018519</v>
      </c>
      <c r="Q91" s="151"/>
      <c r="R91" s="140"/>
      <c r="S91" s="140"/>
    </row>
    <row r="92" ht="33.75" customHeight="1">
      <c r="A92" s="140"/>
      <c r="B92" s="140"/>
      <c r="C92" s="147"/>
      <c r="D92" s="153"/>
      <c r="E92" s="147"/>
      <c r="F92" s="141"/>
      <c r="G92" s="141"/>
      <c r="H92" s="151"/>
      <c r="I92" s="140"/>
      <c r="J92" s="140"/>
      <c r="K92" s="140"/>
      <c r="L92" s="147">
        <f>IFERROR(__xludf.DUMMYFUNCTION("""COMPUTED_VALUE"""),3008783.0)</f>
        <v>3008783</v>
      </c>
      <c r="M92" s="150" t="str">
        <f>IFERROR(__xludf.DUMMYFUNCTION("""COMPUTED_VALUE"""),"How to Beat Burnout, Exhaustion, and Stress")</f>
        <v>How to Beat Burnout, Exhaustion, and Stress</v>
      </c>
      <c r="N92" s="147" t="str">
        <f>IFERROR(__xludf.DUMMYFUNCTION("""COMPUTED_VALUE"""),"General")</f>
        <v>General</v>
      </c>
      <c r="O92" s="141" t="str">
        <f>IFERROR(__xludf.DUMMYFUNCTION("""COMPUTED_VALUE"""),"Beginner")</f>
        <v>Beginner</v>
      </c>
      <c r="P92" s="143">
        <f>IFERROR(__xludf.DUMMYFUNCTION("""COMPUTED_VALUE"""),0.02148148148148148)</f>
        <v>0.02148148148</v>
      </c>
      <c r="Q92" s="151"/>
      <c r="R92" s="140"/>
      <c r="S92" s="140"/>
    </row>
    <row r="93" ht="33.75" customHeight="1">
      <c r="A93" s="140"/>
      <c r="B93" s="140"/>
      <c r="C93" s="147"/>
      <c r="D93" s="153"/>
      <c r="E93" s="147"/>
      <c r="F93" s="141"/>
      <c r="G93" s="141"/>
      <c r="H93" s="151"/>
      <c r="I93" s="140"/>
      <c r="J93" s="140"/>
      <c r="K93" s="140"/>
      <c r="L93" s="147">
        <f>IFERROR(__xludf.DUMMYFUNCTION("""COMPUTED_VALUE"""),3008784.0)</f>
        <v>3008784</v>
      </c>
      <c r="M93" s="150" t="str">
        <f>IFERROR(__xludf.DUMMYFUNCTION("""COMPUTED_VALUE"""),"Break Free from the Negative Chatter in Your Head")</f>
        <v>Break Free from the Negative Chatter in Your Head</v>
      </c>
      <c r="N93" s="147" t="str">
        <f>IFERROR(__xludf.DUMMYFUNCTION("""COMPUTED_VALUE"""),"General")</f>
        <v>General</v>
      </c>
      <c r="O93" s="141" t="str">
        <f>IFERROR(__xludf.DUMMYFUNCTION("""COMPUTED_VALUE"""),"Beginner")</f>
        <v>Beginner</v>
      </c>
      <c r="P93" s="143">
        <f>IFERROR(__xludf.DUMMYFUNCTION("""COMPUTED_VALUE"""),0.019895833333333335)</f>
        <v>0.01989583333</v>
      </c>
      <c r="Q93" s="151"/>
      <c r="R93" s="140"/>
      <c r="S93" s="140"/>
    </row>
    <row r="94" ht="33.75" customHeight="1">
      <c r="A94" s="140"/>
      <c r="B94" s="140"/>
      <c r="C94" s="147"/>
      <c r="D94" s="153"/>
      <c r="E94" s="147"/>
      <c r="F94" s="141"/>
      <c r="G94" s="141"/>
      <c r="H94" s="151"/>
      <c r="I94" s="140"/>
      <c r="J94" s="140"/>
      <c r="K94" s="140"/>
      <c r="L94" s="147">
        <f>IFERROR(__xludf.DUMMYFUNCTION("""COMPUTED_VALUE"""),3010974.0)</f>
        <v>3010974</v>
      </c>
      <c r="M94" s="150" t="str">
        <f>IFERROR(__xludf.DUMMYFUNCTION("""COMPUTED_VALUE"""),"Training Your Mind to Overcome Pressure and Underperformance")</f>
        <v>Training Your Mind to Overcome Pressure and Underperformance</v>
      </c>
      <c r="N94" s="147" t="str">
        <f>IFERROR(__xludf.DUMMYFUNCTION("""COMPUTED_VALUE"""),"General")</f>
        <v>General</v>
      </c>
      <c r="O94" s="141" t="str">
        <f>IFERROR(__xludf.DUMMYFUNCTION("""COMPUTED_VALUE"""),"Beginner")</f>
        <v>Beginner</v>
      </c>
      <c r="P94" s="143">
        <f>IFERROR(__xludf.DUMMYFUNCTION("""COMPUTED_VALUE"""),0.02232638888888889)</f>
        <v>0.02232638889</v>
      </c>
      <c r="Q94" s="151"/>
      <c r="R94" s="140"/>
      <c r="S94" s="140"/>
    </row>
    <row r="95" ht="33.75" customHeight="1">
      <c r="A95" s="140"/>
      <c r="B95" s="140"/>
      <c r="C95" s="147"/>
      <c r="D95" s="153"/>
      <c r="E95" s="147"/>
      <c r="F95" s="141"/>
      <c r="G95" s="141"/>
      <c r="H95" s="151"/>
      <c r="I95" s="140"/>
      <c r="J95" s="140"/>
      <c r="K95" s="140"/>
      <c r="L95" s="147">
        <f>IFERROR(__xludf.DUMMYFUNCTION("""COMPUTED_VALUE"""),2870086.0)</f>
        <v>2870086</v>
      </c>
      <c r="M95" s="150" t="str">
        <f>IFERROR(__xludf.DUMMYFUNCTION("""COMPUTED_VALUE"""),"Facilities Management: Social Distancing and PPE")</f>
        <v>Facilities Management: Social Distancing and PPE</v>
      </c>
      <c r="N95" s="147" t="str">
        <f>IFERROR(__xludf.DUMMYFUNCTION("""COMPUTED_VALUE"""),"General")</f>
        <v>General</v>
      </c>
      <c r="O95" s="141" t="str">
        <f>IFERROR(__xludf.DUMMYFUNCTION("""COMPUTED_VALUE"""),"Beginner + Intermediate")</f>
        <v>Beginner + Intermediate</v>
      </c>
      <c r="P95" s="143">
        <f>IFERROR(__xludf.DUMMYFUNCTION("""COMPUTED_VALUE"""),0.06752314814814815)</f>
        <v>0.06752314815</v>
      </c>
      <c r="Q95" s="151"/>
      <c r="R95" s="140"/>
      <c r="S95" s="140"/>
    </row>
    <row r="96" ht="33.75" customHeight="1">
      <c r="A96" s="140"/>
      <c r="B96" s="140"/>
      <c r="C96" s="147"/>
      <c r="D96" s="153"/>
      <c r="E96" s="147"/>
      <c r="F96" s="141"/>
      <c r="G96" s="141"/>
      <c r="H96" s="151"/>
      <c r="I96" s="140"/>
      <c r="J96" s="140"/>
      <c r="K96" s="140"/>
      <c r="L96" s="147">
        <f>IFERROR(__xludf.DUMMYFUNCTION("""COMPUTED_VALUE"""),659269.0)</f>
        <v>659269</v>
      </c>
      <c r="M96" s="150" t="str">
        <f>IFERROR(__xludf.DUMMYFUNCTION("""COMPUTED_VALUE"""),"Managing Stress for Positive Change")</f>
        <v>Managing Stress for Positive Change</v>
      </c>
      <c r="N96" s="147" t="str">
        <f>IFERROR(__xludf.DUMMYFUNCTION("""COMPUTED_VALUE"""),"General")</f>
        <v>General</v>
      </c>
      <c r="O96" s="141" t="str">
        <f>IFERROR(__xludf.DUMMYFUNCTION("""COMPUTED_VALUE"""),"Beginner + Intermediate")</f>
        <v>Beginner + Intermediate</v>
      </c>
      <c r="P96" s="143">
        <f>IFERROR(__xludf.DUMMYFUNCTION("""COMPUTED_VALUE"""),0.04026620370370371)</f>
        <v>0.0402662037</v>
      </c>
      <c r="Q96" s="151"/>
      <c r="R96" s="140"/>
      <c r="S96" s="140"/>
    </row>
    <row r="97" ht="33.75" customHeight="1">
      <c r="A97" s="140"/>
      <c r="B97" s="140"/>
      <c r="C97" s="147"/>
      <c r="D97" s="153"/>
      <c r="E97" s="147"/>
      <c r="F97" s="141"/>
      <c r="G97" s="141"/>
      <c r="H97" s="151"/>
      <c r="I97" s="140"/>
      <c r="J97" s="140"/>
      <c r="K97" s="140"/>
      <c r="L97" s="147">
        <f>IFERROR(__xludf.DUMMYFUNCTION("""COMPUTED_VALUE"""),2212156.0)</f>
        <v>2212156</v>
      </c>
      <c r="M97" s="150" t="str">
        <f>IFERROR(__xludf.DUMMYFUNCTION("""COMPUTED_VALUE"""),"Mindful Meditations for Work and Life")</f>
        <v>Mindful Meditations for Work and Life</v>
      </c>
      <c r="N97" s="147" t="str">
        <f>IFERROR(__xludf.DUMMYFUNCTION("""COMPUTED_VALUE"""),"General")</f>
        <v>General</v>
      </c>
      <c r="O97" s="141" t="str">
        <f>IFERROR(__xludf.DUMMYFUNCTION("""COMPUTED_VALUE"""),"Beginner + Intermediate")</f>
        <v>Beginner + Intermediate</v>
      </c>
      <c r="P97" s="143">
        <f>IFERROR(__xludf.DUMMYFUNCTION("""COMPUTED_VALUE"""),0.060787037037037035)</f>
        <v>0.06078703704</v>
      </c>
      <c r="Q97" s="151"/>
      <c r="R97" s="140"/>
      <c r="S97" s="140"/>
    </row>
    <row r="98" ht="33.75" customHeight="1">
      <c r="A98" s="140"/>
      <c r="B98" s="140"/>
      <c r="C98" s="147"/>
      <c r="D98" s="153"/>
      <c r="E98" s="147"/>
      <c r="F98" s="141"/>
      <c r="G98" s="141"/>
      <c r="H98" s="151"/>
      <c r="I98" s="140"/>
      <c r="J98" s="140"/>
      <c r="K98" s="140"/>
      <c r="L98" s="147">
        <f>IFERROR(__xludf.DUMMYFUNCTION("""COMPUTED_VALUE"""),2848327.0)</f>
        <v>2848327</v>
      </c>
      <c r="M98" s="150" t="str">
        <f>IFERROR(__xludf.DUMMYFUNCTION("""COMPUTED_VALUE"""),"The 45-Minute Business Plan")</f>
        <v>The 45-Minute Business Plan</v>
      </c>
      <c r="N98" s="147" t="str">
        <f>IFERROR(__xludf.DUMMYFUNCTION("""COMPUTED_VALUE"""),"General")</f>
        <v>General</v>
      </c>
      <c r="O98" s="141" t="str">
        <f>IFERROR(__xludf.DUMMYFUNCTION("""COMPUTED_VALUE"""),"Beginner + Intermediate")</f>
        <v>Beginner + Intermediate</v>
      </c>
      <c r="P98" s="143">
        <f>IFERROR(__xludf.DUMMYFUNCTION("""COMPUTED_VALUE"""),0.028391203703703703)</f>
        <v>0.0283912037</v>
      </c>
      <c r="Q98" s="151"/>
      <c r="R98" s="140"/>
      <c r="S98" s="140"/>
    </row>
    <row r="99" ht="33.75" customHeight="1">
      <c r="A99" s="140"/>
      <c r="B99" s="140"/>
      <c r="C99" s="147"/>
      <c r="D99" s="153"/>
      <c r="E99" s="147"/>
      <c r="F99" s="141"/>
      <c r="G99" s="141"/>
      <c r="H99" s="151"/>
      <c r="I99" s="140"/>
      <c r="J99" s="140"/>
      <c r="K99" s="140"/>
      <c r="L99" s="147">
        <f>IFERROR(__xludf.DUMMYFUNCTION("""COMPUTED_VALUE"""),2865087.0)</f>
        <v>2865087</v>
      </c>
      <c r="M99" s="150" t="str">
        <f>IFERROR(__xludf.DUMMYFUNCTION("""COMPUTED_VALUE"""),"Leading with a Growth Mindset")</f>
        <v>Leading with a Growth Mindset</v>
      </c>
      <c r="N99" s="147" t="str">
        <f>IFERROR(__xludf.DUMMYFUNCTION("""COMPUTED_VALUE"""),"General")</f>
        <v>General</v>
      </c>
      <c r="O99" s="141" t="str">
        <f>IFERROR(__xludf.DUMMYFUNCTION("""COMPUTED_VALUE"""),"Intermediate")</f>
        <v>Intermediate</v>
      </c>
      <c r="P99" s="143">
        <f>IFERROR(__xludf.DUMMYFUNCTION("""COMPUTED_VALUE"""),0.028136574074074074)</f>
        <v>0.02813657407</v>
      </c>
      <c r="Q99" s="151"/>
      <c r="R99" s="140"/>
      <c r="S99" s="140"/>
    </row>
    <row r="100" ht="33.75" customHeight="1">
      <c r="A100" s="140"/>
      <c r="B100" s="140"/>
      <c r="C100" s="147"/>
      <c r="D100" s="153"/>
      <c r="E100" s="147"/>
      <c r="F100" s="141"/>
      <c r="G100" s="141"/>
      <c r="H100" s="151"/>
      <c r="I100" s="140"/>
      <c r="J100" s="140"/>
      <c r="K100" s="140"/>
      <c r="L100" s="147">
        <f>IFERROR(__xludf.DUMMYFUNCTION("""COMPUTED_VALUE"""),636109.0)</f>
        <v>636109</v>
      </c>
      <c r="M100" s="150" t="str">
        <f>IFERROR(__xludf.DUMMYFUNCTION("""COMPUTED_VALUE"""),"Thriving @ Work: Leveraging the Connection between Well-Being and Productivity")</f>
        <v>Thriving @ Work: Leveraging the Connection between Well-Being and Productivity</v>
      </c>
      <c r="N100" s="147" t="str">
        <f>IFERROR(__xludf.DUMMYFUNCTION("""COMPUTED_VALUE"""),"General")</f>
        <v>General</v>
      </c>
      <c r="O100" s="141" t="str">
        <f>IFERROR(__xludf.DUMMYFUNCTION("""COMPUTED_VALUE"""),"Intermediate")</f>
        <v>Intermediate</v>
      </c>
      <c r="P100" s="143">
        <f>IFERROR(__xludf.DUMMYFUNCTION("""COMPUTED_VALUE"""),0.028761574074074075)</f>
        <v>0.02876157407</v>
      </c>
      <c r="Q100" s="151"/>
      <c r="R100" s="140"/>
      <c r="S100" s="140"/>
    </row>
    <row r="101" ht="33.75" customHeight="1">
      <c r="A101" s="140"/>
      <c r="B101" s="140"/>
      <c r="C101" s="147"/>
      <c r="D101" s="153"/>
      <c r="E101" s="147"/>
      <c r="F101" s="141"/>
      <c r="G101" s="141"/>
      <c r="H101" s="151"/>
      <c r="I101" s="140"/>
      <c r="J101" s="140"/>
      <c r="K101" s="140"/>
      <c r="L101" s="147">
        <f>IFERROR(__xludf.DUMMYFUNCTION("""COMPUTED_VALUE"""),5015870.0)</f>
        <v>5015870</v>
      </c>
      <c r="M101" s="150" t="str">
        <f>IFERROR(__xludf.DUMMYFUNCTION("""COMPUTED_VALUE"""),"Unsubscribe: How to Kill Email Anxiety, Avoid Distractions, and Get Real Work Done (Blinkist Summary)")</f>
        <v>Unsubscribe: How to Kill Email Anxiety, Avoid Distractions, and Get Real Work Done (Blinkist Summary)</v>
      </c>
      <c r="N101" s="147" t="str">
        <f>IFERROR(__xludf.DUMMYFUNCTION("""COMPUTED_VALUE"""),"General")</f>
        <v>General</v>
      </c>
      <c r="O101" s="141" t="str">
        <f>IFERROR(__xludf.DUMMYFUNCTION("""COMPUTED_VALUE"""),"Intermediate")</f>
        <v>Intermediate</v>
      </c>
      <c r="P101" s="143">
        <f>IFERROR(__xludf.DUMMYFUNCTION("""COMPUTED_VALUE"""),0.009143518518518518)</f>
        <v>0.009143518519</v>
      </c>
      <c r="Q101" s="151"/>
      <c r="R101" s="140"/>
      <c r="S101" s="140"/>
    </row>
    <row r="102" ht="33.75" customHeight="1">
      <c r="A102" s="140"/>
      <c r="B102" s="140"/>
      <c r="C102" s="147"/>
      <c r="D102" s="153"/>
      <c r="E102" s="147"/>
      <c r="F102" s="141"/>
      <c r="G102" s="141"/>
      <c r="H102" s="151"/>
      <c r="I102" s="140"/>
      <c r="J102" s="140"/>
      <c r="K102" s="140"/>
      <c r="L102" s="147">
        <f>IFERROR(__xludf.DUMMYFUNCTION("""COMPUTED_VALUE"""),769279.0)</f>
        <v>769279</v>
      </c>
      <c r="M102" s="150" t="str">
        <f>IFERROR(__xludf.DUMMYFUNCTION("""COMPUTED_VALUE"""),"Driving Workplace Happiness")</f>
        <v>Driving Workplace Happiness</v>
      </c>
      <c r="N102" s="147" t="str">
        <f>IFERROR(__xludf.DUMMYFUNCTION("""COMPUTED_VALUE"""),"General")</f>
        <v>General</v>
      </c>
      <c r="O102" s="141" t="str">
        <f>IFERROR(__xludf.DUMMYFUNCTION("""COMPUTED_VALUE"""),"Intermediate")</f>
        <v>Intermediate</v>
      </c>
      <c r="P102" s="143">
        <f>IFERROR(__xludf.DUMMYFUNCTION("""COMPUTED_VALUE"""),0.03405092592592593)</f>
        <v>0.03405092593</v>
      </c>
      <c r="Q102" s="151"/>
      <c r="R102" s="140"/>
      <c r="S102" s="140"/>
    </row>
    <row r="103" ht="33.75" customHeight="1">
      <c r="A103" s="140"/>
      <c r="B103" s="140"/>
      <c r="C103" s="147"/>
      <c r="D103" s="153"/>
      <c r="E103" s="147"/>
      <c r="F103" s="141"/>
      <c r="G103" s="141"/>
      <c r="H103" s="151"/>
      <c r="I103" s="140"/>
      <c r="J103" s="140"/>
      <c r="K103" s="140"/>
      <c r="L103" s="147">
        <f>IFERROR(__xludf.DUMMYFUNCTION("""COMPUTED_VALUE"""),2823579.0)</f>
        <v>2823579</v>
      </c>
      <c r="M103" s="150" t="str">
        <f>IFERROR(__xludf.DUMMYFUNCTION("""COMPUTED_VALUE"""),"Adaptive Leadership for VUCA Challenges")</f>
        <v>Adaptive Leadership for VUCA Challenges</v>
      </c>
      <c r="N103" s="147" t="str">
        <f>IFERROR(__xludf.DUMMYFUNCTION("""COMPUTED_VALUE"""),"General")</f>
        <v>General</v>
      </c>
      <c r="O103" s="141" t="str">
        <f>IFERROR(__xludf.DUMMYFUNCTION("""COMPUTED_VALUE"""),"Advanced")</f>
        <v>Advanced</v>
      </c>
      <c r="P103" s="143">
        <f>IFERROR(__xludf.DUMMYFUNCTION("""COMPUTED_VALUE"""),0.022662037037037036)</f>
        <v>0.02266203704</v>
      </c>
      <c r="Q103" s="151"/>
      <c r="R103" s="140"/>
      <c r="S103" s="140"/>
    </row>
    <row r="104" ht="33.75" customHeight="1">
      <c r="A104" s="140"/>
      <c r="B104" s="140"/>
      <c r="C104" s="147"/>
      <c r="D104" s="153"/>
      <c r="E104" s="147"/>
      <c r="F104" s="141"/>
      <c r="G104" s="141"/>
      <c r="H104" s="151"/>
      <c r="I104" s="140"/>
      <c r="J104" s="140"/>
      <c r="K104" s="140"/>
      <c r="L104" s="147">
        <f>IFERROR(__xludf.DUMMYFUNCTION("""COMPUTED_VALUE"""),3004701.0)</f>
        <v>3004701</v>
      </c>
      <c r="M104" s="150" t="str">
        <f>IFERROR(__xludf.DUMMYFUNCTION("""COMPUTED_VALUE"""),"Noise (Blinkist Summary)")</f>
        <v>Noise (Blinkist Summary)</v>
      </c>
      <c r="N104" s="147" t="str">
        <f>IFERROR(__xludf.DUMMYFUNCTION("""COMPUTED_VALUE"""),"General")</f>
        <v>General</v>
      </c>
      <c r="O104" s="141" t="str">
        <f>IFERROR(__xludf.DUMMYFUNCTION("""COMPUTED_VALUE"""),"General")</f>
        <v>General</v>
      </c>
      <c r="P104" s="143">
        <f>IFERROR(__xludf.DUMMYFUNCTION("""COMPUTED_VALUE"""),0.011840277777777778)</f>
        <v>0.01184027778</v>
      </c>
      <c r="Q104" s="151"/>
      <c r="R104" s="140"/>
      <c r="S104" s="140"/>
    </row>
    <row r="105" ht="33.75" customHeight="1">
      <c r="A105" s="140"/>
      <c r="B105" s="140"/>
      <c r="C105" s="147"/>
      <c r="D105" s="153"/>
      <c r="E105" s="147"/>
      <c r="F105" s="141"/>
      <c r="G105" s="141"/>
      <c r="H105" s="151"/>
      <c r="I105" s="140"/>
      <c r="J105" s="140"/>
      <c r="K105" s="140"/>
      <c r="L105" s="147">
        <f>IFERROR(__xludf.DUMMYFUNCTION("""COMPUTED_VALUE"""),2421929.0)</f>
        <v>2421929</v>
      </c>
      <c r="M105" s="150" t="str">
        <f>IFERROR(__xludf.DUMMYFUNCTION("""COMPUTED_VALUE"""),"Balancing Work and Life")</f>
        <v>Balancing Work and Life</v>
      </c>
      <c r="N105" s="147" t="str">
        <f>IFERROR(__xludf.DUMMYFUNCTION("""COMPUTED_VALUE"""),"General")</f>
        <v>General</v>
      </c>
      <c r="O105" s="141" t="str">
        <f>IFERROR(__xludf.DUMMYFUNCTION("""COMPUTED_VALUE"""),"General")</f>
        <v>General</v>
      </c>
      <c r="P105" s="143">
        <f>IFERROR(__xludf.DUMMYFUNCTION("""COMPUTED_VALUE"""),0.024907407407407406)</f>
        <v>0.02490740741</v>
      </c>
      <c r="Q105" s="151"/>
      <c r="R105" s="140"/>
      <c r="S105" s="140"/>
    </row>
    <row r="106" ht="33.75" customHeight="1">
      <c r="A106" s="140"/>
      <c r="B106" s="140"/>
      <c r="C106" s="147"/>
      <c r="D106" s="153"/>
      <c r="E106" s="147"/>
      <c r="F106" s="141"/>
      <c r="G106" s="141"/>
      <c r="H106" s="151"/>
      <c r="I106" s="140"/>
      <c r="J106" s="140"/>
      <c r="K106" s="140"/>
      <c r="L106" s="147">
        <f>IFERROR(__xludf.DUMMYFUNCTION("""COMPUTED_VALUE"""),3006796.0)</f>
        <v>3006796</v>
      </c>
      <c r="M106" s="150" t="str">
        <f>IFERROR(__xludf.DUMMYFUNCTION("""COMPUTED_VALUE"""),"How to Beat Workplace Loneliness")</f>
        <v>How to Beat Workplace Loneliness</v>
      </c>
      <c r="N106" s="147" t="str">
        <f>IFERROR(__xludf.DUMMYFUNCTION("""COMPUTED_VALUE"""),"General")</f>
        <v>General</v>
      </c>
      <c r="O106" s="141" t="str">
        <f>IFERROR(__xludf.DUMMYFUNCTION("""COMPUTED_VALUE"""),"General")</f>
        <v>General</v>
      </c>
      <c r="P106" s="143">
        <f>IFERROR(__xludf.DUMMYFUNCTION("""COMPUTED_VALUE"""),0.01804398148148148)</f>
        <v>0.01804398148</v>
      </c>
      <c r="Q106" s="151"/>
      <c r="R106" s="140"/>
      <c r="S106" s="140"/>
    </row>
    <row r="107" ht="33.75" customHeight="1">
      <c r="A107" s="140"/>
      <c r="B107" s="140"/>
      <c r="C107" s="147"/>
      <c r="D107" s="153"/>
      <c r="E107" s="147"/>
      <c r="F107" s="141"/>
      <c r="G107" s="141"/>
      <c r="H107" s="151"/>
      <c r="I107" s="140"/>
      <c r="J107" s="140"/>
      <c r="K107" s="140"/>
      <c r="L107" s="147">
        <f>IFERROR(__xludf.DUMMYFUNCTION("""COMPUTED_VALUE"""),3008556.0)</f>
        <v>3008556</v>
      </c>
      <c r="M107" s="150" t="str">
        <f>IFERROR(__xludf.DUMMYFUNCTION("""COMPUTED_VALUE"""),"The Art of Impossible (Blinkist Summary)")</f>
        <v>The Art of Impossible (Blinkist Summary)</v>
      </c>
      <c r="N107" s="147" t="str">
        <f>IFERROR(__xludf.DUMMYFUNCTION("""COMPUTED_VALUE"""),"General")</f>
        <v>General</v>
      </c>
      <c r="O107" s="141" t="str">
        <f>IFERROR(__xludf.DUMMYFUNCTION("""COMPUTED_VALUE"""),"General")</f>
        <v>General</v>
      </c>
      <c r="P107" s="143">
        <f>IFERROR(__xludf.DUMMYFUNCTION("""COMPUTED_VALUE"""),0.01734953703703704)</f>
        <v>0.01734953704</v>
      </c>
      <c r="Q107" s="151"/>
      <c r="R107" s="140"/>
      <c r="S107" s="140"/>
    </row>
    <row r="108" ht="33.75" customHeight="1">
      <c r="A108" s="140"/>
      <c r="B108" s="140"/>
      <c r="C108" s="147"/>
      <c r="D108" s="153"/>
      <c r="E108" s="147"/>
      <c r="F108" s="141"/>
      <c r="G108" s="141"/>
      <c r="H108" s="151"/>
      <c r="I108" s="140"/>
      <c r="J108" s="140"/>
      <c r="K108" s="140"/>
      <c r="L108" s="147">
        <f>IFERROR(__xludf.DUMMYFUNCTION("""COMPUTED_VALUE"""),3010523.0)</f>
        <v>3010523</v>
      </c>
      <c r="M108" s="150" t="str">
        <f>IFERROR(__xludf.DUMMYFUNCTION("""COMPUTED_VALUE"""),"The Joy of Missing Out (Blinkist Summary)")</f>
        <v>The Joy of Missing Out (Blinkist Summary)</v>
      </c>
      <c r="N108" s="147" t="str">
        <f>IFERROR(__xludf.DUMMYFUNCTION("""COMPUTED_VALUE"""),"General")</f>
        <v>General</v>
      </c>
      <c r="O108" s="141" t="str">
        <f>IFERROR(__xludf.DUMMYFUNCTION("""COMPUTED_VALUE"""),"General")</f>
        <v>General</v>
      </c>
      <c r="P108" s="143">
        <f>IFERROR(__xludf.DUMMYFUNCTION("""COMPUTED_VALUE"""),0.017199074074074075)</f>
        <v>0.01719907407</v>
      </c>
      <c r="Q108" s="151"/>
      <c r="R108" s="140"/>
      <c r="S108" s="140"/>
    </row>
    <row r="109" ht="33.75" customHeight="1">
      <c r="A109" s="140"/>
      <c r="B109" s="140"/>
      <c r="C109" s="147"/>
      <c r="D109" s="153"/>
      <c r="E109" s="147"/>
      <c r="F109" s="141"/>
      <c r="G109" s="141"/>
      <c r="H109" s="151"/>
      <c r="I109" s="140"/>
      <c r="J109" s="140"/>
      <c r="K109" s="140"/>
      <c r="L109" s="147">
        <f>IFERROR(__xludf.DUMMYFUNCTION("""COMPUTED_VALUE"""),3011514.0)</f>
        <v>3011514</v>
      </c>
      <c r="M109" s="150" t="str">
        <f>IFERROR(__xludf.DUMMYFUNCTION("""COMPUTED_VALUE"""),"It's All Possible (Blinkist Summary)")</f>
        <v>It's All Possible (Blinkist Summary)</v>
      </c>
      <c r="N109" s="147" t="str">
        <f>IFERROR(__xludf.DUMMYFUNCTION("""COMPUTED_VALUE"""),"General")</f>
        <v>General</v>
      </c>
      <c r="O109" s="141" t="str">
        <f>IFERROR(__xludf.DUMMYFUNCTION("""COMPUTED_VALUE"""),"General")</f>
        <v>General</v>
      </c>
      <c r="P109" s="143">
        <f>IFERROR(__xludf.DUMMYFUNCTION("""COMPUTED_VALUE"""),0.012962962962962963)</f>
        <v>0.01296296296</v>
      </c>
      <c r="Q109" s="151"/>
      <c r="R109" s="140"/>
      <c r="S109" s="140"/>
    </row>
    <row r="110" ht="33.75" customHeight="1">
      <c r="A110" s="140"/>
      <c r="B110" s="140"/>
      <c r="C110" s="147"/>
      <c r="D110" s="153"/>
      <c r="E110" s="147"/>
      <c r="F110" s="141"/>
      <c r="G110" s="141"/>
      <c r="H110" s="151"/>
      <c r="I110" s="140"/>
      <c r="J110" s="140"/>
      <c r="K110" s="140"/>
      <c r="L110" s="147">
        <f>IFERROR(__xludf.DUMMYFUNCTION("""COMPUTED_VALUE"""),3013039.0)</f>
        <v>3013039</v>
      </c>
      <c r="M110" s="150" t="str">
        <f>IFERROR(__xludf.DUMMYFUNCTION("""COMPUTED_VALUE"""),"Exceptional (Blinkist Summary)")</f>
        <v>Exceptional (Blinkist Summary)</v>
      </c>
      <c r="N110" s="147" t="str">
        <f>IFERROR(__xludf.DUMMYFUNCTION("""COMPUTED_VALUE"""),"General")</f>
        <v>General</v>
      </c>
      <c r="O110" s="141" t="str">
        <f>IFERROR(__xludf.DUMMYFUNCTION("""COMPUTED_VALUE"""),"General")</f>
        <v>General</v>
      </c>
      <c r="P110" s="143">
        <f>IFERROR(__xludf.DUMMYFUNCTION("""COMPUTED_VALUE"""),0.013402777777777777)</f>
        <v>0.01340277778</v>
      </c>
      <c r="Q110" s="151"/>
      <c r="R110" s="140"/>
      <c r="S110" s="140"/>
    </row>
    <row r="111" ht="33.75" customHeight="1">
      <c r="A111" s="140"/>
      <c r="B111" s="140"/>
      <c r="C111" s="147"/>
      <c r="D111" s="153"/>
      <c r="E111" s="147"/>
      <c r="F111" s="141"/>
      <c r="G111" s="141"/>
      <c r="H111" s="151"/>
      <c r="I111" s="140"/>
      <c r="J111" s="140"/>
      <c r="K111" s="140"/>
      <c r="L111" s="147">
        <f>IFERROR(__xludf.DUMMYFUNCTION("""COMPUTED_VALUE"""),3013040.0)</f>
        <v>3013040</v>
      </c>
      <c r="M111" s="150" t="str">
        <f>IFERROR(__xludf.DUMMYFUNCTION("""COMPUTED_VALUE"""),"Good Vibes, Good Life (Blinkist Summary)")</f>
        <v>Good Vibes, Good Life (Blinkist Summary)</v>
      </c>
      <c r="N111" s="147" t="str">
        <f>IFERROR(__xludf.DUMMYFUNCTION("""COMPUTED_VALUE"""),"General")</f>
        <v>General</v>
      </c>
      <c r="O111" s="141" t="str">
        <f>IFERROR(__xludf.DUMMYFUNCTION("""COMPUTED_VALUE"""),"General")</f>
        <v>General</v>
      </c>
      <c r="P111" s="143">
        <f>IFERROR(__xludf.DUMMYFUNCTION("""COMPUTED_VALUE"""),0.014918981481481481)</f>
        <v>0.01491898148</v>
      </c>
      <c r="Q111" s="151"/>
      <c r="R111" s="140"/>
      <c r="S111" s="140"/>
    </row>
    <row r="112" ht="33.75" customHeight="1">
      <c r="A112" s="140"/>
      <c r="B112" s="140"/>
      <c r="C112" s="147"/>
      <c r="D112" s="153"/>
      <c r="E112" s="147"/>
      <c r="F112" s="141"/>
      <c r="G112" s="141"/>
      <c r="H112" s="151"/>
      <c r="I112" s="140"/>
      <c r="J112" s="140"/>
      <c r="K112" s="140"/>
      <c r="L112" s="147">
        <f>IFERROR(__xludf.DUMMYFUNCTION("""COMPUTED_VALUE"""),3016503.0)</f>
        <v>3016503</v>
      </c>
      <c r="M112" s="150" t="str">
        <f>IFERROR(__xludf.DUMMYFUNCTION("""COMPUTED_VALUE"""),"Greg McKeown on the Art of Getting Effortless Results (Without Burning Out)")</f>
        <v>Greg McKeown on the Art of Getting Effortless Results (Without Burning Out)</v>
      </c>
      <c r="N112" s="147" t="str">
        <f>IFERROR(__xludf.DUMMYFUNCTION("""COMPUTED_VALUE"""),"General")</f>
        <v>General</v>
      </c>
      <c r="O112" s="141" t="str">
        <f>IFERROR(__xludf.DUMMYFUNCTION("""COMPUTED_VALUE"""),"General")</f>
        <v>General</v>
      </c>
      <c r="P112" s="143">
        <f>IFERROR(__xludf.DUMMYFUNCTION("""COMPUTED_VALUE"""),0.013541666666666667)</f>
        <v>0.01354166667</v>
      </c>
      <c r="Q112" s="151"/>
      <c r="R112" s="140"/>
      <c r="S112" s="140"/>
    </row>
    <row r="113" ht="33.75" customHeight="1">
      <c r="A113" s="140"/>
      <c r="B113" s="140"/>
      <c r="C113" s="147"/>
      <c r="D113" s="153"/>
      <c r="E113" s="147"/>
      <c r="F113" s="141"/>
      <c r="G113" s="141"/>
      <c r="H113" s="151"/>
      <c r="I113" s="140"/>
      <c r="J113" s="140"/>
      <c r="K113" s="140"/>
      <c r="L113" s="147">
        <f>IFERROR(__xludf.DUMMYFUNCTION("""COMPUTED_VALUE"""),3160290.0)</f>
        <v>3160290</v>
      </c>
      <c r="M113" s="150" t="str">
        <f>IFERROR(__xludf.DUMMYFUNCTION("""COMPUTED_VALUE"""),"Navigating Fear of Missing Out (FOMO) at Work")</f>
        <v>Navigating Fear of Missing Out (FOMO) at Work</v>
      </c>
      <c r="N113" s="147" t="str">
        <f>IFERROR(__xludf.DUMMYFUNCTION("""COMPUTED_VALUE"""),"General")</f>
        <v>General</v>
      </c>
      <c r="O113" s="141" t="str">
        <f>IFERROR(__xludf.DUMMYFUNCTION("""COMPUTED_VALUE"""),"General")</f>
        <v>General</v>
      </c>
      <c r="P113" s="143">
        <f>IFERROR(__xludf.DUMMYFUNCTION("""COMPUTED_VALUE"""),0.022453703703703705)</f>
        <v>0.0224537037</v>
      </c>
      <c r="Q113" s="151"/>
      <c r="R113" s="140"/>
      <c r="S113" s="140"/>
    </row>
    <row r="114" ht="33.75" customHeight="1">
      <c r="A114" s="140"/>
      <c r="B114" s="140"/>
      <c r="C114" s="147"/>
      <c r="D114" s="153"/>
      <c r="E114" s="147"/>
      <c r="F114" s="141"/>
      <c r="G114" s="141"/>
      <c r="H114" s="151"/>
      <c r="I114" s="140"/>
      <c r="J114" s="140"/>
      <c r="K114" s="140"/>
      <c r="L114" s="147">
        <f>IFERROR(__xludf.DUMMYFUNCTION("""COMPUTED_VALUE"""),444524.0)</f>
        <v>444524</v>
      </c>
      <c r="M114" s="150" t="str">
        <f>IFERROR(__xludf.DUMMYFUNCTION("""COMPUTED_VALUE"""),"Gretchen Rubin on Creating Great Workplace Habits")</f>
        <v>Gretchen Rubin on Creating Great Workplace Habits</v>
      </c>
      <c r="N114" s="147" t="str">
        <f>IFERROR(__xludf.DUMMYFUNCTION("""COMPUTED_VALUE"""),"General")</f>
        <v>General</v>
      </c>
      <c r="O114" s="141" t="str">
        <f>IFERROR(__xludf.DUMMYFUNCTION("""COMPUTED_VALUE"""),"General")</f>
        <v>General</v>
      </c>
      <c r="P114" s="143">
        <f>IFERROR(__xludf.DUMMYFUNCTION("""COMPUTED_VALUE"""),0.027372685185185184)</f>
        <v>0.02737268519</v>
      </c>
      <c r="Q114" s="151"/>
      <c r="R114" s="140"/>
      <c r="S114" s="140"/>
    </row>
    <row r="115" ht="33.75" customHeight="1">
      <c r="A115" s="140"/>
      <c r="B115" s="140"/>
      <c r="C115" s="147"/>
      <c r="D115" s="153"/>
      <c r="E115" s="147"/>
      <c r="F115" s="141"/>
      <c r="G115" s="141"/>
      <c r="H115" s="151"/>
      <c r="I115" s="140"/>
      <c r="J115" s="140"/>
      <c r="K115" s="140"/>
      <c r="L115" s="147">
        <f>IFERROR(__xludf.DUMMYFUNCTION("""COMPUTED_VALUE"""),669533.0)</f>
        <v>669533</v>
      </c>
      <c r="M115" s="150" t="str">
        <f>IFERROR(__xludf.DUMMYFUNCTION("""COMPUTED_VALUE"""),"Sheryl Sandberg and Adam Grant on Option B: Building Resilience")</f>
        <v>Sheryl Sandberg and Adam Grant on Option B: Building Resilience</v>
      </c>
      <c r="N115" s="147" t="str">
        <f>IFERROR(__xludf.DUMMYFUNCTION("""COMPUTED_VALUE"""),"General")</f>
        <v>General</v>
      </c>
      <c r="O115" s="141" t="str">
        <f>IFERROR(__xludf.DUMMYFUNCTION("""COMPUTED_VALUE"""),"General")</f>
        <v>General</v>
      </c>
      <c r="P115" s="143">
        <f>IFERROR(__xludf.DUMMYFUNCTION("""COMPUTED_VALUE"""),0.014421296296296297)</f>
        <v>0.0144212963</v>
      </c>
      <c r="Q115" s="151"/>
      <c r="R115" s="140"/>
      <c r="S115" s="140"/>
    </row>
    <row r="116" ht="33.75" customHeight="1">
      <c r="A116" s="140"/>
      <c r="B116" s="140"/>
      <c r="C116" s="147"/>
      <c r="D116" s="153"/>
      <c r="E116" s="147"/>
      <c r="F116" s="141"/>
      <c r="G116" s="141"/>
      <c r="H116" s="151"/>
      <c r="I116" s="140"/>
      <c r="J116" s="140"/>
      <c r="K116" s="140"/>
      <c r="L116" s="147">
        <f>IFERROR(__xludf.DUMMYFUNCTION("""COMPUTED_VALUE"""),2817014.0)</f>
        <v>2817014</v>
      </c>
      <c r="M116" s="150" t="str">
        <f>IFERROR(__xludf.DUMMYFUNCTION("""COMPUTED_VALUE"""),"Being the Best You: Self-Improvement Modeling")</f>
        <v>Being the Best You: Self-Improvement Modeling</v>
      </c>
      <c r="N116" s="147" t="str">
        <f>IFERROR(__xludf.DUMMYFUNCTION("""COMPUTED_VALUE"""),"General")</f>
        <v>General</v>
      </c>
      <c r="O116" s="141" t="str">
        <f>IFERROR(__xludf.DUMMYFUNCTION("""COMPUTED_VALUE"""),"General")</f>
        <v>General</v>
      </c>
      <c r="P116" s="143">
        <f>IFERROR(__xludf.DUMMYFUNCTION("""COMPUTED_VALUE"""),0.02636574074074074)</f>
        <v>0.02636574074</v>
      </c>
      <c r="Q116" s="151"/>
      <c r="R116" s="140"/>
      <c r="S116" s="140"/>
    </row>
    <row r="117" ht="33.75" customHeight="1">
      <c r="A117" s="140"/>
      <c r="B117" s="140"/>
      <c r="C117" s="147"/>
      <c r="D117" s="153"/>
      <c r="E117" s="147"/>
      <c r="F117" s="141"/>
      <c r="G117" s="141"/>
      <c r="H117" s="151"/>
      <c r="I117" s="140"/>
      <c r="J117" s="140"/>
      <c r="K117" s="140"/>
      <c r="L117" s="147">
        <f>IFERROR(__xludf.DUMMYFUNCTION("""COMPUTED_VALUE"""),2315933.0)</f>
        <v>2315933</v>
      </c>
      <c r="M117" s="150" t="str">
        <f>IFERROR(__xludf.DUMMYFUNCTION("""COMPUTED_VALUE"""),"Supporting Your Mental Health While Working from Home")</f>
        <v>Supporting Your Mental Health While Working from Home</v>
      </c>
      <c r="N117" s="147" t="str">
        <f>IFERROR(__xludf.DUMMYFUNCTION("""COMPUTED_VALUE"""),"General")</f>
        <v>General</v>
      </c>
      <c r="O117" s="141" t="str">
        <f>IFERROR(__xludf.DUMMYFUNCTION("""COMPUTED_VALUE"""),"General")</f>
        <v>General</v>
      </c>
      <c r="P117" s="143">
        <f>IFERROR(__xludf.DUMMYFUNCTION("""COMPUTED_VALUE"""),0.012430555555555556)</f>
        <v>0.01243055556</v>
      </c>
      <c r="Q117" s="151"/>
      <c r="R117" s="140"/>
      <c r="S117" s="140"/>
    </row>
    <row r="118" ht="33.75" customHeight="1">
      <c r="A118" s="140"/>
      <c r="B118" s="140"/>
      <c r="C118" s="147"/>
      <c r="D118" s="153"/>
      <c r="E118" s="147"/>
      <c r="F118" s="141"/>
      <c r="G118" s="141"/>
      <c r="H118" s="151"/>
      <c r="I118" s="140"/>
      <c r="J118" s="140"/>
      <c r="K118" s="140"/>
      <c r="L118" s="147">
        <f>IFERROR(__xludf.DUMMYFUNCTION("""COMPUTED_VALUE"""),721912.0)</f>
        <v>721912</v>
      </c>
      <c r="M118" s="150" t="str">
        <f>IFERROR(__xludf.DUMMYFUNCTION("""COMPUTED_VALUE"""),"Life Mastery: Achieving Happiness and Success")</f>
        <v>Life Mastery: Achieving Happiness and Success</v>
      </c>
      <c r="N118" s="147" t="str">
        <f>IFERROR(__xludf.DUMMYFUNCTION("""COMPUTED_VALUE"""),"General")</f>
        <v>General</v>
      </c>
      <c r="O118" s="141" t="str">
        <f>IFERROR(__xludf.DUMMYFUNCTION("""COMPUTED_VALUE"""),"General")</f>
        <v>General</v>
      </c>
      <c r="P118" s="143">
        <f>IFERROR(__xludf.DUMMYFUNCTION("""COMPUTED_VALUE"""),0.1174074074074074)</f>
        <v>0.1174074074</v>
      </c>
      <c r="Q118" s="151"/>
      <c r="R118" s="140"/>
      <c r="S118" s="140"/>
    </row>
    <row r="119" ht="33.75" customHeight="1">
      <c r="A119" s="140"/>
      <c r="B119" s="140"/>
      <c r="C119" s="147"/>
      <c r="D119" s="153"/>
      <c r="E119" s="147"/>
      <c r="F119" s="141"/>
      <c r="G119" s="141"/>
      <c r="H119" s="151"/>
      <c r="I119" s="140"/>
      <c r="J119" s="140"/>
      <c r="K119" s="140"/>
      <c r="L119" s="147">
        <f>IFERROR(__xludf.DUMMYFUNCTION("""COMPUTED_VALUE"""),2243046.0)</f>
        <v>2243046</v>
      </c>
      <c r="M119" s="150" t="str">
        <f>IFERROR(__xludf.DUMMYFUNCTION("""COMPUTED_VALUE"""),"The Five Thieves of Happiness (getAbstract Summary)")</f>
        <v>The Five Thieves of Happiness (getAbstract Summary)</v>
      </c>
      <c r="N119" s="147" t="str">
        <f>IFERROR(__xludf.DUMMYFUNCTION("""COMPUTED_VALUE"""),"General")</f>
        <v>General</v>
      </c>
      <c r="O119" s="141" t="str">
        <f>IFERROR(__xludf.DUMMYFUNCTION("""COMPUTED_VALUE"""),"General")</f>
        <v>General</v>
      </c>
      <c r="P119" s="143">
        <f>IFERROR(__xludf.DUMMYFUNCTION("""COMPUTED_VALUE"""),0.005775462962962963)</f>
        <v>0.005775462963</v>
      </c>
      <c r="Q119" s="151"/>
      <c r="R119" s="140"/>
      <c r="S119" s="140"/>
    </row>
    <row r="120" ht="33.75" customHeight="1">
      <c r="A120" s="140"/>
      <c r="B120" s="140"/>
      <c r="C120" s="147"/>
      <c r="D120" s="153"/>
      <c r="E120" s="147"/>
      <c r="F120" s="141"/>
      <c r="G120" s="141"/>
      <c r="H120" s="151"/>
      <c r="I120" s="140"/>
      <c r="J120" s="140"/>
      <c r="K120" s="140"/>
      <c r="L120" s="147">
        <f>IFERROR(__xludf.DUMMYFUNCTION("""COMPUTED_VALUE"""),2841516.0)</f>
        <v>2841516</v>
      </c>
      <c r="M120" s="150" t="str">
        <f>IFERROR(__xludf.DUMMYFUNCTION("""COMPUTED_VALUE"""),"Balancing Work and Life as a Work-from-Home Parent")</f>
        <v>Balancing Work and Life as a Work-from-Home Parent</v>
      </c>
      <c r="N120" s="147" t="str">
        <f>IFERROR(__xludf.DUMMYFUNCTION("""COMPUTED_VALUE"""),"General")</f>
        <v>General</v>
      </c>
      <c r="O120" s="141" t="str">
        <f>IFERROR(__xludf.DUMMYFUNCTION("""COMPUTED_VALUE"""),"General")</f>
        <v>General</v>
      </c>
      <c r="P120" s="143">
        <f>IFERROR(__xludf.DUMMYFUNCTION("""COMPUTED_VALUE"""),0.01980324074074074)</f>
        <v>0.01980324074</v>
      </c>
      <c r="Q120" s="151"/>
      <c r="R120" s="140"/>
      <c r="S120" s="140"/>
    </row>
    <row r="121" ht="33.75" customHeight="1">
      <c r="A121" s="140"/>
      <c r="B121" s="140"/>
      <c r="C121" s="147"/>
      <c r="D121" s="153"/>
      <c r="E121" s="147"/>
      <c r="F121" s="141"/>
      <c r="G121" s="141"/>
      <c r="H121" s="151"/>
      <c r="I121" s="140"/>
      <c r="J121" s="140"/>
      <c r="K121" s="140"/>
      <c r="L121" s="147">
        <f>IFERROR(__xludf.DUMMYFUNCTION("""COMPUTED_VALUE"""),2833081.0)</f>
        <v>2833081</v>
      </c>
      <c r="M121" s="150" t="str">
        <f>IFERROR(__xludf.DUMMYFUNCTION("""COMPUTED_VALUE"""),"Essentials of Mindfulness and Compassion with Scott Shute")</f>
        <v>Essentials of Mindfulness and Compassion with Scott Shute</v>
      </c>
      <c r="N121" s="147" t="str">
        <f>IFERROR(__xludf.DUMMYFUNCTION("""COMPUTED_VALUE"""),"General")</f>
        <v>General</v>
      </c>
      <c r="O121" s="141" t="str">
        <f>IFERROR(__xludf.DUMMYFUNCTION("""COMPUTED_VALUE"""),"General")</f>
        <v>General</v>
      </c>
      <c r="P121" s="143">
        <f>IFERROR(__xludf.DUMMYFUNCTION("""COMPUTED_VALUE"""),0.04474537037037037)</f>
        <v>0.04474537037</v>
      </c>
      <c r="Q121" s="151"/>
      <c r="R121" s="140"/>
      <c r="S121" s="140"/>
    </row>
    <row r="122" ht="33.75" customHeight="1">
      <c r="A122" s="140"/>
      <c r="B122" s="140"/>
      <c r="C122" s="147"/>
      <c r="D122" s="153"/>
      <c r="E122" s="147"/>
      <c r="F122" s="141"/>
      <c r="G122" s="141"/>
      <c r="H122" s="151"/>
      <c r="I122" s="140"/>
      <c r="J122" s="140"/>
      <c r="K122" s="140"/>
      <c r="L122" s="147">
        <f>IFERROR(__xludf.DUMMYFUNCTION("""COMPUTED_VALUE"""),2822423.0)</f>
        <v>2822423</v>
      </c>
      <c r="M122" s="150" t="str">
        <f>IFERROR(__xludf.DUMMYFUNCTION("""COMPUTED_VALUE"""),"How to Manage Feeling Overwhelmed")</f>
        <v>How to Manage Feeling Overwhelmed</v>
      </c>
      <c r="N122" s="147" t="str">
        <f>IFERROR(__xludf.DUMMYFUNCTION("""COMPUTED_VALUE"""),"General")</f>
        <v>General</v>
      </c>
      <c r="O122" s="141" t="str">
        <f>IFERROR(__xludf.DUMMYFUNCTION("""COMPUTED_VALUE"""),"General")</f>
        <v>General</v>
      </c>
      <c r="P122" s="143">
        <f>IFERROR(__xludf.DUMMYFUNCTION("""COMPUTED_VALUE"""),0.030046296296296297)</f>
        <v>0.0300462963</v>
      </c>
      <c r="Q122" s="151"/>
      <c r="R122" s="140"/>
      <c r="S122" s="140"/>
    </row>
    <row r="123" ht="33.75" customHeight="1">
      <c r="A123" s="140"/>
      <c r="B123" s="140"/>
      <c r="C123" s="147"/>
      <c r="D123" s="153"/>
      <c r="E123" s="147"/>
      <c r="F123" s="141"/>
      <c r="G123" s="141"/>
      <c r="H123" s="151"/>
      <c r="I123" s="140"/>
      <c r="J123" s="140"/>
      <c r="K123" s="140"/>
      <c r="L123" s="147">
        <f>IFERROR(__xludf.DUMMYFUNCTION("""COMPUTED_VALUE"""),704110.0)</f>
        <v>704110</v>
      </c>
      <c r="M123" s="150" t="str">
        <f>IFERROR(__xludf.DUMMYFUNCTION("""COMPUTED_VALUE"""),"Confronting Bias: Thriving Across Our Differences")</f>
        <v>Confronting Bias: Thriving Across Our Differences</v>
      </c>
      <c r="N123" s="147" t="str">
        <f>IFERROR(__xludf.DUMMYFUNCTION("""COMPUTED_VALUE"""),"General")</f>
        <v>General</v>
      </c>
      <c r="O123" s="141" t="str">
        <f>IFERROR(__xludf.DUMMYFUNCTION("""COMPUTED_VALUE"""),"General")</f>
        <v>General</v>
      </c>
      <c r="P123" s="143">
        <f>IFERROR(__xludf.DUMMYFUNCTION("""COMPUTED_VALUE"""),0.027800925925925927)</f>
        <v>0.02780092593</v>
      </c>
      <c r="Q123" s="151"/>
      <c r="R123" s="140"/>
      <c r="S123" s="140"/>
    </row>
    <row r="124" ht="33.75" customHeight="1">
      <c r="A124" s="140"/>
      <c r="B124" s="140"/>
      <c r="C124" s="147"/>
      <c r="D124" s="153"/>
      <c r="E124" s="147"/>
      <c r="F124" s="141"/>
      <c r="G124" s="141"/>
      <c r="H124" s="151"/>
      <c r="I124" s="140"/>
      <c r="J124" s="140"/>
      <c r="K124" s="140"/>
      <c r="L124" s="147">
        <f>IFERROR(__xludf.DUMMYFUNCTION("""COMPUTED_VALUE"""),751311.0)</f>
        <v>751311</v>
      </c>
      <c r="M124" s="150" t="str">
        <f>IFERROR(__xludf.DUMMYFUNCTION("""COMPUTED_VALUE"""),"Managing Depression in the Workplace")</f>
        <v>Managing Depression in the Workplace</v>
      </c>
      <c r="N124" s="147" t="str">
        <f>IFERROR(__xludf.DUMMYFUNCTION("""COMPUTED_VALUE"""),"General")</f>
        <v>General</v>
      </c>
      <c r="O124" s="141" t="str">
        <f>IFERROR(__xludf.DUMMYFUNCTION("""COMPUTED_VALUE"""),"General")</f>
        <v>General</v>
      </c>
      <c r="P124" s="143">
        <f>IFERROR(__xludf.DUMMYFUNCTION("""COMPUTED_VALUE"""),0.04386574074074074)</f>
        <v>0.04386574074</v>
      </c>
      <c r="Q124" s="151"/>
      <c r="R124" s="140"/>
      <c r="S124" s="140"/>
    </row>
    <row r="125" ht="33.75" customHeight="1">
      <c r="A125" s="140"/>
      <c r="B125" s="140"/>
      <c r="C125" s="147"/>
      <c r="D125" s="153"/>
      <c r="E125" s="147"/>
      <c r="F125" s="141"/>
      <c r="G125" s="141"/>
      <c r="H125" s="151"/>
      <c r="I125" s="140"/>
      <c r="J125" s="140"/>
      <c r="K125" s="140"/>
      <c r="L125" s="147">
        <f>IFERROR(__xludf.DUMMYFUNCTION("""COMPUTED_VALUE"""),786350.0)</f>
        <v>786350</v>
      </c>
      <c r="M125" s="150" t="str">
        <f>IFERROR(__xludf.DUMMYFUNCTION("""COMPUTED_VALUE"""),"Recharge Your Energy for Peak Performance")</f>
        <v>Recharge Your Energy for Peak Performance</v>
      </c>
      <c r="N125" s="147" t="str">
        <f>IFERROR(__xludf.DUMMYFUNCTION("""COMPUTED_VALUE"""),"General")</f>
        <v>General</v>
      </c>
      <c r="O125" s="141" t="str">
        <f>IFERROR(__xludf.DUMMYFUNCTION("""COMPUTED_VALUE"""),"General")</f>
        <v>General</v>
      </c>
      <c r="P125" s="143">
        <f>IFERROR(__xludf.DUMMYFUNCTION("""COMPUTED_VALUE"""),0.035925925925925924)</f>
        <v>0.03592592593</v>
      </c>
      <c r="Q125" s="151"/>
      <c r="R125" s="140"/>
      <c r="S125" s="140"/>
    </row>
    <row r="126" ht="33.75" customHeight="1">
      <c r="A126" s="140"/>
      <c r="B126" s="140"/>
      <c r="C126" s="147"/>
      <c r="D126" s="153"/>
      <c r="E126" s="147"/>
      <c r="F126" s="141"/>
      <c r="G126" s="141"/>
      <c r="H126" s="151"/>
      <c r="I126" s="140"/>
      <c r="J126" s="140"/>
      <c r="K126" s="140"/>
      <c r="L126" s="147">
        <f>IFERROR(__xludf.DUMMYFUNCTION("""COMPUTED_VALUE"""),802831.0)</f>
        <v>802831</v>
      </c>
      <c r="M126" s="150" t="str">
        <f>IFERROR(__xludf.DUMMYFUNCTION("""COMPUTED_VALUE"""),"Managing Anxiety in the Workplace")</f>
        <v>Managing Anxiety in the Workplace</v>
      </c>
      <c r="N126" s="147" t="str">
        <f>IFERROR(__xludf.DUMMYFUNCTION("""COMPUTED_VALUE"""),"General")</f>
        <v>General</v>
      </c>
      <c r="O126" s="141" t="str">
        <f>IFERROR(__xludf.DUMMYFUNCTION("""COMPUTED_VALUE"""),"General")</f>
        <v>General</v>
      </c>
      <c r="P126" s="143">
        <f>IFERROR(__xludf.DUMMYFUNCTION("""COMPUTED_VALUE"""),0.047928240740740743)</f>
        <v>0.04792824074</v>
      </c>
      <c r="Q126" s="151"/>
      <c r="R126" s="140"/>
      <c r="S126" s="140"/>
    </row>
    <row r="127" ht="33.75" customHeight="1">
      <c r="A127" s="140"/>
      <c r="B127" s="140"/>
      <c r="C127" s="147"/>
      <c r="D127" s="153"/>
      <c r="E127" s="147"/>
      <c r="F127" s="141"/>
      <c r="G127" s="141"/>
      <c r="H127" s="151"/>
      <c r="I127" s="140"/>
      <c r="J127" s="140"/>
      <c r="K127" s="140"/>
      <c r="L127" s="147">
        <f>IFERROR(__xludf.DUMMYFUNCTION("""COMPUTED_VALUE"""),794115.0)</f>
        <v>794115</v>
      </c>
      <c r="M127" s="150" t="str">
        <f>IFERROR(__xludf.DUMMYFUNCTION("""COMPUTED_VALUE"""),"Mindfulness Practices")</f>
        <v>Mindfulness Practices</v>
      </c>
      <c r="N127" s="147" t="str">
        <f>IFERROR(__xludf.DUMMYFUNCTION("""COMPUTED_VALUE"""),"General")</f>
        <v>General</v>
      </c>
      <c r="O127" s="141" t="str">
        <f>IFERROR(__xludf.DUMMYFUNCTION("""COMPUTED_VALUE"""),"General")</f>
        <v>General</v>
      </c>
      <c r="P127" s="143">
        <f>IFERROR(__xludf.DUMMYFUNCTION("""COMPUTED_VALUE"""),0.08591435185185185)</f>
        <v>0.08591435185</v>
      </c>
      <c r="Q127" s="151"/>
      <c r="R127" s="140"/>
      <c r="S127" s="140"/>
    </row>
    <row r="128" ht="33.75" customHeight="1">
      <c r="A128" s="140"/>
      <c r="B128" s="140"/>
      <c r="C128" s="147"/>
      <c r="D128" s="153"/>
      <c r="E128" s="147"/>
      <c r="F128" s="141"/>
      <c r="G128" s="141"/>
      <c r="H128" s="151"/>
      <c r="I128" s="140"/>
      <c r="J128" s="140"/>
      <c r="K128" s="140"/>
      <c r="L128" s="147">
        <f>IFERROR(__xludf.DUMMYFUNCTION("""COMPUTED_VALUE"""),3114007.0)</f>
        <v>3114007</v>
      </c>
      <c r="M128" s="150" t="str">
        <f>IFERROR(__xludf.DUMMYFUNCTION("""COMPUTED_VALUE"""),"How to Create a Life of Meaning and Purpose")</f>
        <v>How to Create a Life of Meaning and Purpose</v>
      </c>
      <c r="N128" s="147" t="str">
        <f>IFERROR(__xludf.DUMMYFUNCTION("""COMPUTED_VALUE"""),"General")</f>
        <v>General</v>
      </c>
      <c r="O128" s="141" t="str">
        <f>IFERROR(__xludf.DUMMYFUNCTION("""COMPUTED_VALUE"""),"General")</f>
        <v>General</v>
      </c>
      <c r="P128" s="143">
        <f>IFERROR(__xludf.DUMMYFUNCTION("""COMPUTED_VALUE"""),0.028703703703703703)</f>
        <v>0.0287037037</v>
      </c>
      <c r="Q128" s="151"/>
      <c r="R128" s="140"/>
      <c r="S128" s="140"/>
    </row>
    <row r="129" ht="33.75" customHeight="1">
      <c r="A129" s="140"/>
      <c r="B129" s="140"/>
      <c r="C129" s="147"/>
      <c r="D129" s="153"/>
      <c r="E129" s="147"/>
      <c r="F129" s="141"/>
      <c r="G129" s="141"/>
      <c r="H129" s="151"/>
      <c r="I129" s="140"/>
      <c r="J129" s="140"/>
      <c r="K129" s="140"/>
      <c r="L129" s="147">
        <f>IFERROR(__xludf.DUMMYFUNCTION("""COMPUTED_VALUE"""),2883154.0)</f>
        <v>2883154</v>
      </c>
      <c r="M129" s="150" t="str">
        <f>IFERROR(__xludf.DUMMYFUNCTION("""COMPUTED_VALUE"""),"Beating Procrastination")</f>
        <v>Beating Procrastination</v>
      </c>
      <c r="N129" s="147" t="str">
        <f>IFERROR(__xludf.DUMMYFUNCTION("""COMPUTED_VALUE"""),"General")</f>
        <v>General</v>
      </c>
      <c r="O129" s="141" t="str">
        <f>IFERROR(__xludf.DUMMYFUNCTION("""COMPUTED_VALUE"""),"General")</f>
        <v>General</v>
      </c>
      <c r="P129" s="143">
        <f>IFERROR(__xludf.DUMMYFUNCTION("""COMPUTED_VALUE"""),0.01685185185185185)</f>
        <v>0.01685185185</v>
      </c>
      <c r="Q129" s="151"/>
      <c r="R129" s="140"/>
      <c r="S129" s="140"/>
    </row>
    <row r="130" ht="33.75" customHeight="1">
      <c r="A130" s="140"/>
      <c r="B130" s="140"/>
      <c r="C130" s="147"/>
      <c r="D130" s="153"/>
      <c r="E130" s="147"/>
      <c r="F130" s="141"/>
      <c r="G130" s="141"/>
      <c r="H130" s="151"/>
      <c r="I130" s="140"/>
      <c r="J130" s="140"/>
      <c r="K130" s="140"/>
      <c r="L130" s="147">
        <f>IFERROR(__xludf.DUMMYFUNCTION("""COMPUTED_VALUE"""),2883208.0)</f>
        <v>2883208</v>
      </c>
      <c r="M130" s="150" t="str">
        <f>IFERROR(__xludf.DUMMYFUNCTION("""COMPUTED_VALUE"""),"Enhance Productivity in a Hybrid Work Environment")</f>
        <v>Enhance Productivity in a Hybrid Work Environment</v>
      </c>
      <c r="N130" s="147" t="str">
        <f>IFERROR(__xludf.DUMMYFUNCTION("""COMPUTED_VALUE"""),"General")</f>
        <v>General</v>
      </c>
      <c r="O130" s="141" t="str">
        <f>IFERROR(__xludf.DUMMYFUNCTION("""COMPUTED_VALUE"""),"General")</f>
        <v>General</v>
      </c>
      <c r="P130" s="143">
        <f>IFERROR(__xludf.DUMMYFUNCTION("""COMPUTED_VALUE"""),0.01238425925925926)</f>
        <v>0.01238425926</v>
      </c>
      <c r="Q130" s="151"/>
      <c r="R130" s="140"/>
      <c r="S130" s="140"/>
    </row>
    <row r="131" ht="33.75" customHeight="1">
      <c r="A131" s="140"/>
      <c r="B131" s="140"/>
      <c r="C131" s="147"/>
      <c r="D131" s="153"/>
      <c r="E131" s="147"/>
      <c r="F131" s="141"/>
      <c r="G131" s="141"/>
      <c r="H131" s="151"/>
      <c r="I131" s="140"/>
      <c r="J131" s="140"/>
      <c r="K131" s="140"/>
      <c r="L131" s="147">
        <f>IFERROR(__xludf.DUMMYFUNCTION("""COMPUTED_VALUE"""),2887258.0)</f>
        <v>2887258</v>
      </c>
      <c r="M131" s="150" t="str">
        <f>IFERROR(__xludf.DUMMYFUNCTION("""COMPUTED_VALUE"""),"Reframing: The Power of Changing Your Perspective")</f>
        <v>Reframing: The Power of Changing Your Perspective</v>
      </c>
      <c r="N131" s="147" t="str">
        <f>IFERROR(__xludf.DUMMYFUNCTION("""COMPUTED_VALUE"""),"General")</f>
        <v>General</v>
      </c>
      <c r="O131" s="141" t="str">
        <f>IFERROR(__xludf.DUMMYFUNCTION("""COMPUTED_VALUE"""),"General")</f>
        <v>General</v>
      </c>
      <c r="P131" s="143">
        <f>IFERROR(__xludf.DUMMYFUNCTION("""COMPUTED_VALUE"""),0.04346064814814815)</f>
        <v>0.04346064815</v>
      </c>
      <c r="Q131" s="151"/>
      <c r="R131" s="140"/>
      <c r="S131" s="140"/>
    </row>
    <row r="132" ht="33.75" customHeight="1">
      <c r="A132" s="140"/>
      <c r="B132" s="140"/>
      <c r="C132" s="147"/>
      <c r="D132" s="153"/>
      <c r="E132" s="147"/>
      <c r="F132" s="141"/>
      <c r="G132" s="141"/>
      <c r="H132" s="151"/>
      <c r="I132" s="140"/>
      <c r="J132" s="140"/>
      <c r="K132" s="140"/>
      <c r="L132" s="147">
        <f>IFERROR(__xludf.DUMMYFUNCTION("""COMPUTED_VALUE"""),2895102.0)</f>
        <v>2895102</v>
      </c>
      <c r="M132" s="150" t="str">
        <f>IFERROR(__xludf.DUMMYFUNCTION("""COMPUTED_VALUE"""),"Habits to Win Every Day")</f>
        <v>Habits to Win Every Day</v>
      </c>
      <c r="N132" s="147" t="str">
        <f>IFERROR(__xludf.DUMMYFUNCTION("""COMPUTED_VALUE"""),"General")</f>
        <v>General</v>
      </c>
      <c r="O132" s="141" t="str">
        <f>IFERROR(__xludf.DUMMYFUNCTION("""COMPUTED_VALUE"""),"General")</f>
        <v>General</v>
      </c>
      <c r="P132" s="143">
        <f>IFERROR(__xludf.DUMMYFUNCTION("""COMPUTED_VALUE"""),0.03596064814814815)</f>
        <v>0.03596064815</v>
      </c>
      <c r="Q132" s="151"/>
      <c r="R132" s="140"/>
      <c r="S132" s="140"/>
    </row>
    <row r="133" ht="33.75" customHeight="1">
      <c r="A133" s="140"/>
      <c r="B133" s="140"/>
      <c r="C133" s="147"/>
      <c r="D133" s="153"/>
      <c r="E133" s="147"/>
      <c r="F133" s="141"/>
      <c r="G133" s="141"/>
      <c r="H133" s="151"/>
      <c r="I133" s="140"/>
      <c r="J133" s="140"/>
      <c r="K133" s="140"/>
      <c r="L133" s="147">
        <f>IFERROR(__xludf.DUMMYFUNCTION("""COMPUTED_VALUE"""),2873211.0)</f>
        <v>2873211</v>
      </c>
      <c r="M133" s="150" t="str">
        <f>IFERROR(__xludf.DUMMYFUNCTION("""COMPUTED_VALUE"""),"Succeeding as an LGBT Professional")</f>
        <v>Succeeding as an LGBT Professional</v>
      </c>
      <c r="N133" s="147" t="str">
        <f>IFERROR(__xludf.DUMMYFUNCTION("""COMPUTED_VALUE"""),"General")</f>
        <v>General</v>
      </c>
      <c r="O133" s="141" t="str">
        <f>IFERROR(__xludf.DUMMYFUNCTION("""COMPUTED_VALUE"""),"General")</f>
        <v>General</v>
      </c>
      <c r="P133" s="143">
        <f>IFERROR(__xludf.DUMMYFUNCTION("""COMPUTED_VALUE"""),0.014027777777777778)</f>
        <v>0.01402777778</v>
      </c>
      <c r="Q133" s="151"/>
      <c r="R133" s="140"/>
      <c r="S133" s="140"/>
    </row>
    <row r="134" ht="33.75" customHeight="1">
      <c r="A134" s="140"/>
      <c r="B134" s="140"/>
      <c r="C134" s="147"/>
      <c r="D134" s="153"/>
      <c r="E134" s="147"/>
      <c r="F134" s="141"/>
      <c r="G134" s="141"/>
      <c r="H134" s="151"/>
      <c r="I134" s="140"/>
      <c r="J134" s="140"/>
      <c r="K134" s="140"/>
      <c r="L134" s="147">
        <f>IFERROR(__xludf.DUMMYFUNCTION("""COMPUTED_VALUE"""),2423500.0)</f>
        <v>2423500</v>
      </c>
      <c r="M134" s="150" t="str">
        <f>IFERROR(__xludf.DUMMYFUNCTION("""COMPUTED_VALUE"""),"How to Have a Great Day at Work With Caroline Webb")</f>
        <v>How to Have a Great Day at Work With Caroline Webb</v>
      </c>
      <c r="N134" s="147" t="str">
        <f>IFERROR(__xludf.DUMMYFUNCTION("""COMPUTED_VALUE"""),"General")</f>
        <v>General</v>
      </c>
      <c r="O134" s="141" t="str">
        <f>IFERROR(__xludf.DUMMYFUNCTION("""COMPUTED_VALUE"""),"General")</f>
        <v>General</v>
      </c>
      <c r="P134" s="143">
        <f>IFERROR(__xludf.DUMMYFUNCTION("""COMPUTED_VALUE"""),0.03864583333333333)</f>
        <v>0.03864583333</v>
      </c>
      <c r="Q134" s="151"/>
      <c r="R134" s="140"/>
      <c r="S134" s="140"/>
    </row>
    <row r="135" ht="33.75" customHeight="1">
      <c r="A135" s="140"/>
      <c r="B135" s="140"/>
      <c r="C135" s="147"/>
      <c r="D135" s="153"/>
      <c r="E135" s="147"/>
      <c r="F135" s="141"/>
      <c r="G135" s="141"/>
      <c r="H135" s="151"/>
      <c r="I135" s="140"/>
      <c r="J135" s="140"/>
      <c r="K135" s="140"/>
      <c r="L135" s="147">
        <f>IFERROR(__xludf.DUMMYFUNCTION("""COMPUTED_VALUE"""),2426450.0)</f>
        <v>2426450</v>
      </c>
      <c r="M135" s="150" t="str">
        <f>IFERROR(__xludf.DUMMYFUNCTION("""COMPUTED_VALUE"""),"Confidence-Building Strategies for Work and Life")</f>
        <v>Confidence-Building Strategies for Work and Life</v>
      </c>
      <c r="N135" s="147" t="str">
        <f>IFERROR(__xludf.DUMMYFUNCTION("""COMPUTED_VALUE"""),"General")</f>
        <v>General</v>
      </c>
      <c r="O135" s="141" t="str">
        <f>IFERROR(__xludf.DUMMYFUNCTION("""COMPUTED_VALUE"""),"General")</f>
        <v>General</v>
      </c>
      <c r="P135" s="143">
        <f>IFERROR(__xludf.DUMMYFUNCTION("""COMPUTED_VALUE"""),0.025902777777777778)</f>
        <v>0.02590277778</v>
      </c>
      <c r="Q135" s="151"/>
      <c r="R135" s="140"/>
      <c r="S135" s="140"/>
    </row>
    <row r="136" ht="33.75" customHeight="1">
      <c r="A136" s="140"/>
      <c r="B136" s="140"/>
      <c r="C136" s="147"/>
      <c r="D136" s="153"/>
      <c r="E136" s="147"/>
      <c r="F136" s="141"/>
      <c r="G136" s="141"/>
      <c r="H136" s="151"/>
      <c r="I136" s="140"/>
      <c r="J136" s="140"/>
      <c r="K136" s="140"/>
      <c r="L136" s="147">
        <f>IFERROR(__xludf.DUMMYFUNCTION("""COMPUTED_VALUE"""),2893127.0)</f>
        <v>2893127</v>
      </c>
      <c r="M136" s="150" t="str">
        <f>IFERROR(__xludf.DUMMYFUNCTION("""COMPUTED_VALUE"""),"The Step-By-Step Guide to Reinventing Yourself")</f>
        <v>The Step-By-Step Guide to Reinventing Yourself</v>
      </c>
      <c r="N136" s="147" t="str">
        <f>IFERROR(__xludf.DUMMYFUNCTION("""COMPUTED_VALUE"""),"General")</f>
        <v>General</v>
      </c>
      <c r="O136" s="141" t="str">
        <f>IFERROR(__xludf.DUMMYFUNCTION("""COMPUTED_VALUE"""),"General")</f>
        <v>General</v>
      </c>
      <c r="P136" s="143">
        <f>IFERROR(__xludf.DUMMYFUNCTION("""COMPUTED_VALUE"""),0.020405092592592593)</f>
        <v>0.02040509259</v>
      </c>
      <c r="Q136" s="151"/>
      <c r="R136" s="140"/>
      <c r="S136" s="140"/>
    </row>
    <row r="137" ht="33.75" customHeight="1">
      <c r="A137" s="140"/>
      <c r="B137" s="140"/>
      <c r="C137" s="147"/>
      <c r="D137" s="153"/>
      <c r="E137" s="147"/>
      <c r="F137" s="141"/>
      <c r="G137" s="141"/>
      <c r="H137" s="151"/>
      <c r="I137" s="140"/>
      <c r="J137" s="140"/>
      <c r="K137" s="140"/>
      <c r="L137" s="147">
        <f>IFERROR(__xludf.DUMMYFUNCTION("""COMPUTED_VALUE"""),2894569.0)</f>
        <v>2894569</v>
      </c>
      <c r="M137" s="150" t="str">
        <f>IFERROR(__xludf.DUMMYFUNCTION("""COMPUTED_VALUE"""),"Mel Robbins on Confidence")</f>
        <v>Mel Robbins on Confidence</v>
      </c>
      <c r="N137" s="147" t="str">
        <f>IFERROR(__xludf.DUMMYFUNCTION("""COMPUTED_VALUE"""),"General")</f>
        <v>General</v>
      </c>
      <c r="O137" s="141" t="str">
        <f>IFERROR(__xludf.DUMMYFUNCTION("""COMPUTED_VALUE"""),"General")</f>
        <v>General</v>
      </c>
      <c r="P137" s="143">
        <f>IFERROR(__xludf.DUMMYFUNCTION("""COMPUTED_VALUE"""),0.022372685185185186)</f>
        <v>0.02237268519</v>
      </c>
      <c r="Q137" s="151"/>
      <c r="R137" s="140"/>
      <c r="S137" s="140"/>
    </row>
    <row r="138" ht="33.75" customHeight="1">
      <c r="A138" s="140"/>
      <c r="B138" s="140"/>
      <c r="C138" s="147"/>
      <c r="D138" s="153"/>
      <c r="E138" s="147"/>
      <c r="F138" s="141"/>
      <c r="G138" s="141"/>
      <c r="H138" s="151"/>
      <c r="I138" s="140"/>
      <c r="J138" s="140"/>
      <c r="K138" s="140"/>
      <c r="L138" s="147">
        <f>IFERROR(__xludf.DUMMYFUNCTION("""COMPUTED_VALUE"""),3008163.0)</f>
        <v>3008163</v>
      </c>
      <c r="M138" s="150" t="str">
        <f>IFERROR(__xludf.DUMMYFUNCTION("""COMPUTED_VALUE"""),"The Miracle Morning (Blinkist Summary)")</f>
        <v>The Miracle Morning (Blinkist Summary)</v>
      </c>
      <c r="N138" s="147" t="str">
        <f>IFERROR(__xludf.DUMMYFUNCTION("""COMPUTED_VALUE"""),"General")</f>
        <v>General</v>
      </c>
      <c r="O138" s="141" t="str">
        <f>IFERROR(__xludf.DUMMYFUNCTION("""COMPUTED_VALUE"""),"General")</f>
        <v>General</v>
      </c>
      <c r="P138" s="143">
        <f>IFERROR(__xludf.DUMMYFUNCTION("""COMPUTED_VALUE"""),0.013865740740740741)</f>
        <v>0.01386574074</v>
      </c>
      <c r="Q138" s="151"/>
      <c r="R138" s="140"/>
      <c r="S138" s="140"/>
    </row>
    <row r="139" ht="33.75" customHeight="1">
      <c r="A139" s="140"/>
      <c r="B139" s="140"/>
      <c r="C139" s="147"/>
      <c r="D139" s="153"/>
      <c r="E139" s="147"/>
      <c r="F139" s="141"/>
      <c r="G139" s="141"/>
      <c r="H139" s="151"/>
      <c r="I139" s="140"/>
      <c r="J139" s="140"/>
      <c r="K139" s="140"/>
      <c r="L139" s="147">
        <f>IFERROR(__xludf.DUMMYFUNCTION("""COMPUTED_VALUE"""),3011078.0)</f>
        <v>3011078</v>
      </c>
      <c r="M139" s="150" t="str">
        <f>IFERROR(__xludf.DUMMYFUNCTION("""COMPUTED_VALUE"""),"The Power of Habit (Blinkist Summary)")</f>
        <v>The Power of Habit (Blinkist Summary)</v>
      </c>
      <c r="N139" s="147" t="str">
        <f>IFERROR(__xludf.DUMMYFUNCTION("""COMPUTED_VALUE"""),"General")</f>
        <v>General</v>
      </c>
      <c r="O139" s="141" t="str">
        <f>IFERROR(__xludf.DUMMYFUNCTION("""COMPUTED_VALUE"""),"General")</f>
        <v>General</v>
      </c>
      <c r="P139" s="143">
        <f>IFERROR(__xludf.DUMMYFUNCTION("""COMPUTED_VALUE"""),0.01880787037037037)</f>
        <v>0.01880787037</v>
      </c>
      <c r="Q139" s="151"/>
      <c r="R139" s="140"/>
      <c r="S139" s="140"/>
    </row>
    <row r="140" ht="33.75" customHeight="1">
      <c r="A140" s="140"/>
      <c r="B140" s="140"/>
      <c r="C140" s="147"/>
      <c r="D140" s="153"/>
      <c r="E140" s="147"/>
      <c r="F140" s="141"/>
      <c r="G140" s="141"/>
      <c r="H140" s="151"/>
      <c r="I140" s="140"/>
      <c r="J140" s="140"/>
      <c r="K140" s="140"/>
      <c r="L140" s="147"/>
      <c r="M140" s="159"/>
      <c r="N140" s="147"/>
      <c r="O140" s="141"/>
      <c r="P140" s="143"/>
      <c r="Q140" s="151"/>
      <c r="R140" s="140"/>
      <c r="S140" s="140"/>
    </row>
    <row r="141" ht="33.75" customHeight="1">
      <c r="A141" s="140"/>
      <c r="B141" s="140"/>
      <c r="C141" s="147"/>
      <c r="D141" s="153"/>
      <c r="E141" s="147"/>
      <c r="F141" s="141"/>
      <c r="G141" s="141"/>
      <c r="H141" s="151"/>
      <c r="I141" s="140"/>
      <c r="J141" s="140"/>
      <c r="K141" s="140"/>
      <c r="L141" s="147"/>
      <c r="M141" s="159"/>
      <c r="N141" s="147"/>
      <c r="O141" s="141"/>
      <c r="P141" s="143"/>
      <c r="Q141" s="151"/>
      <c r="R141" s="140"/>
      <c r="S141" s="140"/>
    </row>
    <row r="142" ht="33.75" customHeight="1">
      <c r="A142" s="140"/>
      <c r="B142" s="140"/>
      <c r="C142" s="147"/>
      <c r="D142" s="153"/>
      <c r="E142" s="147"/>
      <c r="F142" s="141"/>
      <c r="G142" s="141"/>
      <c r="H142" s="151"/>
      <c r="I142" s="140"/>
      <c r="J142" s="140"/>
      <c r="K142" s="140"/>
      <c r="L142" s="147"/>
      <c r="M142" s="159"/>
      <c r="N142" s="147"/>
      <c r="O142" s="141"/>
      <c r="P142" s="143"/>
      <c r="Q142" s="151"/>
      <c r="R142" s="140"/>
      <c r="S142" s="140"/>
    </row>
    <row r="143" ht="33.75" customHeight="1">
      <c r="A143" s="140"/>
      <c r="B143" s="140"/>
      <c r="C143" s="147"/>
      <c r="D143" s="153"/>
      <c r="E143" s="147"/>
      <c r="F143" s="141"/>
      <c r="G143" s="141"/>
      <c r="H143" s="151"/>
      <c r="I143" s="140"/>
      <c r="J143" s="140"/>
      <c r="K143" s="140"/>
      <c r="L143" s="147"/>
      <c r="M143" s="159"/>
      <c r="N143" s="147"/>
      <c r="O143" s="141"/>
      <c r="P143" s="143"/>
      <c r="Q143" s="151"/>
      <c r="R143" s="140"/>
      <c r="S143" s="140"/>
    </row>
    <row r="144" ht="33.75" customHeight="1">
      <c r="A144" s="140"/>
      <c r="B144" s="140"/>
      <c r="C144" s="147"/>
      <c r="D144" s="153"/>
      <c r="E144" s="147"/>
      <c r="F144" s="141"/>
      <c r="G144" s="141"/>
      <c r="H144" s="151"/>
      <c r="I144" s="140"/>
      <c r="J144" s="140"/>
      <c r="K144" s="140"/>
      <c r="L144" s="147"/>
      <c r="M144" s="159"/>
      <c r="N144" s="147"/>
      <c r="O144" s="141"/>
      <c r="P144" s="143"/>
      <c r="Q144" s="151"/>
      <c r="R144" s="140"/>
      <c r="S144" s="140"/>
    </row>
    <row r="145" ht="33.75" customHeight="1">
      <c r="A145" s="140"/>
      <c r="B145" s="140"/>
      <c r="C145" s="147"/>
      <c r="D145" s="153"/>
      <c r="E145" s="147"/>
      <c r="F145" s="141"/>
      <c r="G145" s="141"/>
      <c r="H145" s="151"/>
      <c r="I145" s="140"/>
      <c r="J145" s="140"/>
      <c r="K145" s="140"/>
      <c r="L145" s="147"/>
      <c r="M145" s="159"/>
      <c r="N145" s="147"/>
      <c r="O145" s="141"/>
      <c r="P145" s="143"/>
      <c r="Q145" s="151"/>
      <c r="R145" s="140"/>
      <c r="S145" s="140"/>
    </row>
    <row r="146" ht="33.75" customHeight="1">
      <c r="A146" s="140"/>
      <c r="B146" s="140"/>
      <c r="C146" s="147"/>
      <c r="D146" s="153"/>
      <c r="E146" s="147"/>
      <c r="F146" s="141"/>
      <c r="G146" s="141"/>
      <c r="H146" s="151"/>
      <c r="I146" s="140"/>
      <c r="J146" s="140"/>
      <c r="K146" s="140"/>
      <c r="L146" s="147"/>
      <c r="M146" s="159"/>
      <c r="N146" s="147"/>
      <c r="O146" s="141"/>
      <c r="P146" s="143"/>
      <c r="Q146" s="151"/>
      <c r="R146" s="140"/>
      <c r="S146" s="140"/>
    </row>
    <row r="147" ht="33.75" customHeight="1">
      <c r="A147" s="140"/>
      <c r="B147" s="140"/>
      <c r="C147" s="147"/>
      <c r="D147" s="153"/>
      <c r="E147" s="147"/>
      <c r="F147" s="141"/>
      <c r="G147" s="141"/>
      <c r="H147" s="151"/>
      <c r="I147" s="140"/>
      <c r="J147" s="140"/>
      <c r="K147" s="140"/>
      <c r="L147" s="147"/>
      <c r="M147" s="159"/>
      <c r="N147" s="147"/>
      <c r="O147" s="141"/>
      <c r="P147" s="143"/>
      <c r="Q147" s="151"/>
      <c r="R147" s="140"/>
      <c r="S147" s="140"/>
    </row>
    <row r="148" ht="33.75" customHeight="1">
      <c r="A148" s="140"/>
      <c r="B148" s="140"/>
      <c r="C148" s="147"/>
      <c r="D148" s="153"/>
      <c r="E148" s="147"/>
      <c r="F148" s="141"/>
      <c r="G148" s="141"/>
      <c r="H148" s="151"/>
      <c r="I148" s="140"/>
      <c r="J148" s="140"/>
      <c r="K148" s="140"/>
      <c r="L148" s="147"/>
      <c r="M148" s="159"/>
      <c r="N148" s="147"/>
      <c r="O148" s="141"/>
      <c r="P148" s="143"/>
      <c r="Q148" s="151"/>
      <c r="R148" s="140"/>
      <c r="S148" s="140"/>
    </row>
    <row r="149" ht="33.75" customHeight="1">
      <c r="A149" s="140"/>
      <c r="B149" s="140"/>
      <c r="C149" s="147"/>
      <c r="D149" s="153"/>
      <c r="E149" s="147"/>
      <c r="F149" s="141"/>
      <c r="G149" s="141"/>
      <c r="H149" s="151"/>
      <c r="I149" s="140"/>
      <c r="J149" s="140"/>
      <c r="K149" s="140"/>
      <c r="L149" s="147"/>
      <c r="M149" s="159"/>
      <c r="N149" s="147"/>
      <c r="O149" s="141"/>
      <c r="P149" s="143"/>
      <c r="Q149" s="151"/>
      <c r="R149" s="140"/>
      <c r="S149" s="140"/>
    </row>
    <row r="150" ht="33.75" customHeight="1">
      <c r="A150" s="154"/>
      <c r="B150" s="154"/>
      <c r="C150" s="155"/>
      <c r="D150" s="156"/>
      <c r="E150" s="155"/>
      <c r="F150" s="155"/>
      <c r="G150" s="155"/>
      <c r="H150" s="157"/>
      <c r="I150" s="154"/>
      <c r="J150" s="154"/>
      <c r="K150" s="154"/>
      <c r="L150" s="155"/>
      <c r="M150" s="156"/>
      <c r="N150" s="155"/>
      <c r="O150" s="155"/>
      <c r="P150" s="155"/>
      <c r="Q150" s="157"/>
      <c r="R150" s="154"/>
      <c r="S150" s="154"/>
    </row>
    <row r="151" ht="33.75" customHeight="1">
      <c r="A151" s="154"/>
      <c r="B151" s="154"/>
      <c r="C151" s="155"/>
      <c r="D151" s="156"/>
      <c r="E151" s="155"/>
      <c r="F151" s="155"/>
      <c r="G151" s="155"/>
      <c r="H151" s="157"/>
      <c r="I151" s="154"/>
      <c r="J151" s="154"/>
      <c r="K151" s="154"/>
      <c r="L151" s="155"/>
      <c r="M151" s="156"/>
      <c r="N151" s="155"/>
      <c r="O151" s="155"/>
      <c r="P151" s="155"/>
      <c r="Q151" s="157"/>
      <c r="R151" s="154"/>
      <c r="S151" s="154"/>
    </row>
    <row r="152" ht="33.75" customHeight="1">
      <c r="A152" s="154"/>
      <c r="B152" s="154"/>
      <c r="C152" s="155"/>
      <c r="D152" s="156"/>
      <c r="E152" s="155"/>
      <c r="F152" s="155"/>
      <c r="G152" s="155"/>
      <c r="H152" s="157"/>
      <c r="I152" s="154"/>
      <c r="J152" s="154"/>
      <c r="K152" s="154"/>
      <c r="L152" s="155"/>
      <c r="M152" s="156"/>
      <c r="N152" s="155"/>
      <c r="O152" s="155"/>
      <c r="P152" s="155"/>
      <c r="Q152" s="157"/>
      <c r="R152" s="154"/>
      <c r="S152" s="154"/>
    </row>
    <row r="153" ht="33.75" customHeight="1">
      <c r="A153" s="154"/>
      <c r="B153" s="154"/>
      <c r="C153" s="155"/>
      <c r="D153" s="156"/>
      <c r="E153" s="155"/>
      <c r="F153" s="155"/>
      <c r="G153" s="155"/>
      <c r="H153" s="157"/>
      <c r="I153" s="154"/>
      <c r="J153" s="154"/>
      <c r="K153" s="154"/>
      <c r="L153" s="155"/>
      <c r="M153" s="156"/>
      <c r="N153" s="155"/>
      <c r="O153" s="155"/>
      <c r="P153" s="155"/>
      <c r="Q153" s="157"/>
      <c r="R153" s="154"/>
      <c r="S153" s="154"/>
    </row>
    <row r="154" ht="33.75" customHeight="1">
      <c r="A154" s="154"/>
      <c r="B154" s="154"/>
      <c r="C154" s="155"/>
      <c r="D154" s="156"/>
      <c r="E154" s="155"/>
      <c r="F154" s="155"/>
      <c r="G154" s="155"/>
      <c r="H154" s="157"/>
      <c r="I154" s="154"/>
      <c r="J154" s="154"/>
      <c r="K154" s="154"/>
      <c r="L154" s="155"/>
      <c r="M154" s="156"/>
      <c r="N154" s="155"/>
      <c r="O154" s="155"/>
      <c r="P154" s="155"/>
      <c r="Q154" s="157"/>
      <c r="R154" s="154"/>
      <c r="S154" s="154"/>
    </row>
    <row r="155" ht="33.75" customHeight="1">
      <c r="A155" s="154"/>
      <c r="B155" s="154"/>
      <c r="C155" s="155"/>
      <c r="D155" s="156"/>
      <c r="E155" s="155"/>
      <c r="F155" s="155"/>
      <c r="G155" s="155"/>
      <c r="H155" s="157"/>
      <c r="I155" s="154"/>
      <c r="J155" s="154"/>
      <c r="K155" s="154"/>
      <c r="L155" s="155"/>
      <c r="M155" s="156"/>
      <c r="N155" s="155"/>
      <c r="O155" s="155"/>
      <c r="P155" s="155"/>
      <c r="Q155" s="157"/>
      <c r="R155" s="154"/>
      <c r="S155" s="154"/>
    </row>
    <row r="156" ht="33.75" customHeight="1">
      <c r="A156" s="154"/>
      <c r="B156" s="154"/>
      <c r="C156" s="155"/>
      <c r="D156" s="156"/>
      <c r="E156" s="155"/>
      <c r="F156" s="155"/>
      <c r="G156" s="155"/>
      <c r="H156" s="157"/>
      <c r="I156" s="154"/>
      <c r="J156" s="154"/>
      <c r="K156" s="154"/>
      <c r="L156" s="155"/>
      <c r="M156" s="156"/>
      <c r="N156" s="155"/>
      <c r="O156" s="155"/>
      <c r="P156" s="155"/>
      <c r="Q156" s="157"/>
      <c r="R156" s="154"/>
      <c r="S156" s="154"/>
    </row>
    <row r="157" ht="33.75" customHeight="1">
      <c r="A157" s="154"/>
      <c r="B157" s="154"/>
      <c r="C157" s="155"/>
      <c r="D157" s="156"/>
      <c r="E157" s="155"/>
      <c r="F157" s="155"/>
      <c r="G157" s="155"/>
      <c r="H157" s="157"/>
      <c r="I157" s="154"/>
      <c r="J157" s="154"/>
      <c r="K157" s="154"/>
      <c r="L157" s="155"/>
      <c r="M157" s="156"/>
      <c r="N157" s="155"/>
      <c r="O157" s="155"/>
      <c r="P157" s="155"/>
      <c r="Q157" s="157"/>
      <c r="R157" s="154"/>
      <c r="S157" s="154"/>
    </row>
    <row r="158" ht="33.75" customHeight="1">
      <c r="A158" s="154"/>
      <c r="B158" s="154"/>
      <c r="C158" s="155"/>
      <c r="D158" s="156"/>
      <c r="E158" s="155"/>
      <c r="F158" s="155"/>
      <c r="G158" s="155"/>
      <c r="H158" s="157"/>
      <c r="I158" s="154"/>
      <c r="J158" s="154"/>
      <c r="K158" s="154"/>
      <c r="L158" s="155"/>
      <c r="M158" s="156"/>
      <c r="N158" s="155"/>
      <c r="O158" s="155"/>
      <c r="P158" s="155"/>
      <c r="Q158" s="157"/>
      <c r="R158" s="154"/>
      <c r="S158" s="154"/>
    </row>
    <row r="159" ht="33.75" customHeight="1">
      <c r="A159" s="154"/>
      <c r="B159" s="154"/>
      <c r="C159" s="155"/>
      <c r="D159" s="156"/>
      <c r="E159" s="155"/>
      <c r="F159" s="155"/>
      <c r="G159" s="155"/>
      <c r="H159" s="157"/>
      <c r="I159" s="154"/>
      <c r="J159" s="154"/>
      <c r="K159" s="154"/>
      <c r="L159" s="155"/>
      <c r="M159" s="156"/>
      <c r="N159" s="155"/>
      <c r="O159" s="155"/>
      <c r="P159" s="155"/>
      <c r="Q159" s="157"/>
      <c r="R159" s="154"/>
      <c r="S159" s="154"/>
    </row>
    <row r="160" ht="33.75" customHeight="1">
      <c r="A160" s="154"/>
      <c r="B160" s="154"/>
      <c r="C160" s="155"/>
      <c r="D160" s="156"/>
      <c r="E160" s="155"/>
      <c r="F160" s="155"/>
      <c r="G160" s="155"/>
      <c r="H160" s="157"/>
      <c r="I160" s="154"/>
      <c r="J160" s="154"/>
      <c r="K160" s="154"/>
      <c r="L160" s="155"/>
      <c r="M160" s="156"/>
      <c r="N160" s="155"/>
      <c r="O160" s="155"/>
      <c r="P160" s="155"/>
      <c r="Q160" s="157"/>
      <c r="R160" s="154"/>
      <c r="S160" s="154"/>
    </row>
    <row r="161" ht="33.75" customHeight="1">
      <c r="A161" s="154"/>
      <c r="B161" s="154"/>
      <c r="C161" s="155"/>
      <c r="D161" s="156"/>
      <c r="E161" s="155"/>
      <c r="F161" s="155"/>
      <c r="G161" s="155"/>
      <c r="H161" s="157"/>
      <c r="I161" s="154"/>
      <c r="J161" s="154"/>
      <c r="K161" s="154"/>
      <c r="L161" s="155"/>
      <c r="M161" s="156"/>
      <c r="N161" s="155"/>
      <c r="O161" s="155"/>
      <c r="P161" s="155"/>
      <c r="Q161" s="157"/>
      <c r="R161" s="154"/>
      <c r="S161" s="154"/>
    </row>
    <row r="162" ht="33.75" customHeight="1">
      <c r="A162" s="154"/>
      <c r="B162" s="154"/>
      <c r="C162" s="155"/>
      <c r="D162" s="156"/>
      <c r="E162" s="155"/>
      <c r="F162" s="155"/>
      <c r="G162" s="155"/>
      <c r="H162" s="157"/>
      <c r="I162" s="154"/>
      <c r="J162" s="154"/>
      <c r="K162" s="154"/>
      <c r="L162" s="155"/>
      <c r="M162" s="156"/>
      <c r="N162" s="155"/>
      <c r="O162" s="155"/>
      <c r="P162" s="155"/>
      <c r="Q162" s="157"/>
      <c r="R162" s="154"/>
      <c r="S162" s="154"/>
    </row>
    <row r="163" ht="33.75" customHeight="1">
      <c r="A163" s="154"/>
      <c r="B163" s="154"/>
      <c r="C163" s="155"/>
      <c r="D163" s="156"/>
      <c r="E163" s="155"/>
      <c r="F163" s="155"/>
      <c r="G163" s="155"/>
      <c r="H163" s="157"/>
      <c r="I163" s="154"/>
      <c r="J163" s="154"/>
      <c r="K163" s="154"/>
      <c r="L163" s="155"/>
      <c r="M163" s="156"/>
      <c r="N163" s="155"/>
      <c r="O163" s="155"/>
      <c r="P163" s="155"/>
      <c r="Q163" s="157"/>
      <c r="R163" s="154"/>
      <c r="S163" s="154"/>
    </row>
    <row r="164" ht="33.75" customHeight="1">
      <c r="A164" s="154"/>
      <c r="B164" s="154"/>
      <c r="C164" s="155"/>
      <c r="D164" s="156"/>
      <c r="E164" s="155"/>
      <c r="F164" s="155"/>
      <c r="G164" s="155"/>
      <c r="H164" s="157"/>
      <c r="I164" s="154"/>
      <c r="J164" s="154"/>
      <c r="K164" s="154"/>
      <c r="L164" s="155"/>
      <c r="M164" s="156"/>
      <c r="N164" s="155"/>
      <c r="O164" s="155"/>
      <c r="P164" s="155"/>
      <c r="Q164" s="157"/>
      <c r="R164" s="154"/>
      <c r="S164" s="154"/>
    </row>
    <row r="165" ht="33.75" customHeight="1">
      <c r="A165" s="154"/>
      <c r="B165" s="154"/>
      <c r="C165" s="155"/>
      <c r="D165" s="156"/>
      <c r="E165" s="155"/>
      <c r="F165" s="155"/>
      <c r="G165" s="155"/>
      <c r="H165" s="157"/>
      <c r="I165" s="154"/>
      <c r="J165" s="154"/>
      <c r="K165" s="154"/>
      <c r="L165" s="155"/>
      <c r="M165" s="156"/>
      <c r="N165" s="155"/>
      <c r="O165" s="155"/>
      <c r="P165" s="155"/>
      <c r="Q165" s="157"/>
      <c r="R165" s="154"/>
      <c r="S165" s="154"/>
    </row>
    <row r="166" ht="33.75" customHeight="1">
      <c r="A166" s="154"/>
      <c r="B166" s="154"/>
      <c r="C166" s="155"/>
      <c r="D166" s="156"/>
      <c r="E166" s="155"/>
      <c r="F166" s="155"/>
      <c r="G166" s="155"/>
      <c r="H166" s="157"/>
      <c r="I166" s="154"/>
      <c r="J166" s="154"/>
      <c r="K166" s="154"/>
      <c r="L166" s="155"/>
      <c r="M166" s="156"/>
      <c r="N166" s="155"/>
      <c r="O166" s="155"/>
      <c r="P166" s="155"/>
      <c r="Q166" s="157"/>
      <c r="R166" s="154"/>
      <c r="S166" s="154"/>
    </row>
    <row r="167" ht="33.75" customHeight="1">
      <c r="A167" s="154"/>
      <c r="B167" s="154"/>
      <c r="C167" s="155"/>
      <c r="D167" s="156"/>
      <c r="E167" s="155"/>
      <c r="F167" s="155"/>
      <c r="G167" s="155"/>
      <c r="H167" s="157"/>
      <c r="I167" s="154"/>
      <c r="J167" s="154"/>
      <c r="K167" s="154"/>
      <c r="L167" s="155"/>
      <c r="M167" s="156"/>
      <c r="N167" s="155"/>
      <c r="O167" s="155"/>
      <c r="P167" s="155"/>
      <c r="Q167" s="157"/>
      <c r="R167" s="154"/>
      <c r="S167" s="154"/>
    </row>
    <row r="168" ht="33.75" customHeight="1">
      <c r="A168" s="154"/>
      <c r="B168" s="154"/>
      <c r="C168" s="155"/>
      <c r="D168" s="156"/>
      <c r="E168" s="155"/>
      <c r="F168" s="155"/>
      <c r="G168" s="155"/>
      <c r="H168" s="157"/>
      <c r="I168" s="154"/>
      <c r="J168" s="154"/>
      <c r="K168" s="154"/>
      <c r="L168" s="155"/>
      <c r="M168" s="156"/>
      <c r="N168" s="155"/>
      <c r="O168" s="155"/>
      <c r="P168" s="155"/>
      <c r="Q168" s="157"/>
      <c r="R168" s="154"/>
      <c r="S168" s="154"/>
    </row>
    <row r="169" ht="33.75" customHeight="1">
      <c r="A169" s="154"/>
      <c r="B169" s="154"/>
      <c r="C169" s="155"/>
      <c r="D169" s="156"/>
      <c r="E169" s="155"/>
      <c r="F169" s="155"/>
      <c r="G169" s="155"/>
      <c r="H169" s="157"/>
      <c r="I169" s="154"/>
      <c r="J169" s="154"/>
      <c r="K169" s="154"/>
      <c r="L169" s="155"/>
      <c r="M169" s="156"/>
      <c r="N169" s="155"/>
      <c r="O169" s="155"/>
      <c r="P169" s="155"/>
      <c r="Q169" s="157"/>
      <c r="R169" s="154"/>
      <c r="S169" s="154"/>
    </row>
    <row r="170" ht="33.75" customHeight="1">
      <c r="A170" s="154"/>
      <c r="B170" s="154"/>
      <c r="C170" s="155"/>
      <c r="D170" s="156"/>
      <c r="E170" s="155"/>
      <c r="F170" s="155"/>
      <c r="G170" s="155"/>
      <c r="H170" s="157"/>
      <c r="I170" s="154"/>
      <c r="J170" s="154"/>
      <c r="K170" s="154"/>
      <c r="L170" s="155"/>
      <c r="M170" s="156"/>
      <c r="N170" s="155"/>
      <c r="O170" s="155"/>
      <c r="P170" s="155"/>
      <c r="Q170" s="157"/>
      <c r="R170" s="154"/>
      <c r="S170" s="154"/>
    </row>
    <row r="171" ht="33.75" customHeight="1">
      <c r="A171" s="154"/>
      <c r="B171" s="154"/>
      <c r="C171" s="155"/>
      <c r="D171" s="156"/>
      <c r="E171" s="155"/>
      <c r="F171" s="155"/>
      <c r="G171" s="155"/>
      <c r="H171" s="157"/>
      <c r="I171" s="154"/>
      <c r="J171" s="154"/>
      <c r="K171" s="154"/>
      <c r="L171" s="155"/>
      <c r="M171" s="156"/>
      <c r="N171" s="155"/>
      <c r="O171" s="155"/>
      <c r="P171" s="155"/>
      <c r="Q171" s="157"/>
      <c r="R171" s="154"/>
      <c r="S171" s="154"/>
    </row>
    <row r="172" ht="33.75" customHeight="1">
      <c r="A172" s="154"/>
      <c r="B172" s="154"/>
      <c r="C172" s="155"/>
      <c r="D172" s="156"/>
      <c r="E172" s="155"/>
      <c r="F172" s="155"/>
      <c r="G172" s="155"/>
      <c r="H172" s="157"/>
      <c r="I172" s="154"/>
      <c r="J172" s="154"/>
      <c r="K172" s="154"/>
      <c r="L172" s="155"/>
      <c r="M172" s="156"/>
      <c r="N172" s="155"/>
      <c r="O172" s="155"/>
      <c r="P172" s="155"/>
      <c r="Q172" s="157"/>
      <c r="R172" s="154"/>
      <c r="S172" s="154"/>
    </row>
    <row r="173" ht="33.75" customHeight="1">
      <c r="A173" s="154"/>
      <c r="B173" s="154"/>
      <c r="C173" s="155"/>
      <c r="D173" s="156"/>
      <c r="E173" s="155"/>
      <c r="F173" s="155"/>
      <c r="G173" s="155"/>
      <c r="H173" s="157"/>
      <c r="I173" s="154"/>
      <c r="J173" s="154"/>
      <c r="K173" s="154"/>
      <c r="L173" s="155"/>
      <c r="M173" s="156"/>
      <c r="N173" s="155"/>
      <c r="O173" s="155"/>
      <c r="P173" s="155"/>
      <c r="Q173" s="157"/>
      <c r="R173" s="154"/>
      <c r="S173" s="154"/>
    </row>
    <row r="174" ht="33.75" customHeight="1">
      <c r="A174" s="154"/>
      <c r="B174" s="154"/>
      <c r="C174" s="155"/>
      <c r="D174" s="156"/>
      <c r="E174" s="155"/>
      <c r="F174" s="155"/>
      <c r="G174" s="155"/>
      <c r="H174" s="157"/>
      <c r="I174" s="154"/>
      <c r="J174" s="154"/>
      <c r="K174" s="154"/>
      <c r="L174" s="155"/>
      <c r="M174" s="156"/>
      <c r="N174" s="155"/>
      <c r="O174" s="155"/>
      <c r="P174" s="155"/>
      <c r="Q174" s="157"/>
      <c r="R174" s="154"/>
      <c r="S174" s="154"/>
    </row>
    <row r="175" ht="33.75" customHeight="1">
      <c r="A175" s="154"/>
      <c r="B175" s="154"/>
      <c r="C175" s="155"/>
      <c r="D175" s="156"/>
      <c r="E175" s="155"/>
      <c r="F175" s="155"/>
      <c r="G175" s="155"/>
      <c r="H175" s="157"/>
      <c r="I175" s="154"/>
      <c r="J175" s="154"/>
      <c r="K175" s="154"/>
      <c r="L175" s="155"/>
      <c r="M175" s="156"/>
      <c r="N175" s="155"/>
      <c r="O175" s="155"/>
      <c r="P175" s="155"/>
      <c r="Q175" s="157"/>
      <c r="R175" s="154"/>
      <c r="S175" s="154"/>
    </row>
    <row r="176" ht="33.75" customHeight="1">
      <c r="A176" s="154"/>
      <c r="B176" s="154"/>
      <c r="C176" s="155"/>
      <c r="D176" s="156"/>
      <c r="E176" s="155"/>
      <c r="F176" s="155"/>
      <c r="G176" s="155"/>
      <c r="H176" s="157"/>
      <c r="I176" s="154"/>
      <c r="J176" s="154"/>
      <c r="K176" s="154"/>
      <c r="L176" s="155"/>
      <c r="M176" s="156"/>
      <c r="N176" s="155"/>
      <c r="O176" s="155"/>
      <c r="P176" s="155"/>
      <c r="Q176" s="157"/>
      <c r="R176" s="154"/>
      <c r="S176" s="154"/>
    </row>
    <row r="177" ht="33.75" customHeight="1">
      <c r="A177" s="154"/>
      <c r="B177" s="154"/>
      <c r="C177" s="155"/>
      <c r="D177" s="156"/>
      <c r="E177" s="155"/>
      <c r="F177" s="155"/>
      <c r="G177" s="155"/>
      <c r="H177" s="157"/>
      <c r="I177" s="154"/>
      <c r="J177" s="154"/>
      <c r="K177" s="154"/>
      <c r="L177" s="155"/>
      <c r="M177" s="156"/>
      <c r="N177" s="155"/>
      <c r="O177" s="155"/>
      <c r="P177" s="155"/>
      <c r="Q177" s="157"/>
      <c r="R177" s="154"/>
      <c r="S177" s="154"/>
    </row>
    <row r="178" ht="33.75" customHeight="1">
      <c r="A178" s="154"/>
      <c r="B178" s="154"/>
      <c r="C178" s="155"/>
      <c r="D178" s="156"/>
      <c r="E178" s="155"/>
      <c r="F178" s="155"/>
      <c r="G178" s="155"/>
      <c r="H178" s="157"/>
      <c r="I178" s="154"/>
      <c r="J178" s="154"/>
      <c r="K178" s="154"/>
      <c r="L178" s="155"/>
      <c r="M178" s="156"/>
      <c r="N178" s="155"/>
      <c r="O178" s="155"/>
      <c r="P178" s="155"/>
      <c r="Q178" s="157"/>
      <c r="R178" s="154"/>
      <c r="S178" s="154"/>
    </row>
    <row r="179" ht="33.75" customHeight="1">
      <c r="A179" s="154"/>
      <c r="B179" s="154"/>
      <c r="C179" s="155"/>
      <c r="D179" s="156"/>
      <c r="E179" s="155"/>
      <c r="F179" s="155"/>
      <c r="G179" s="155"/>
      <c r="H179" s="157"/>
      <c r="I179" s="154"/>
      <c r="J179" s="154"/>
      <c r="K179" s="154"/>
      <c r="L179" s="155"/>
      <c r="M179" s="156"/>
      <c r="N179" s="155"/>
      <c r="O179" s="155"/>
      <c r="P179" s="155"/>
      <c r="Q179" s="157"/>
      <c r="R179" s="154"/>
      <c r="S179" s="154"/>
    </row>
    <row r="180" ht="33.75" customHeight="1">
      <c r="A180" s="154"/>
      <c r="B180" s="154"/>
      <c r="C180" s="155"/>
      <c r="D180" s="156"/>
      <c r="E180" s="155"/>
      <c r="F180" s="155"/>
      <c r="G180" s="155"/>
      <c r="H180" s="157"/>
      <c r="I180" s="154"/>
      <c r="J180" s="154"/>
      <c r="K180" s="154"/>
      <c r="L180" s="155"/>
      <c r="M180" s="156"/>
      <c r="N180" s="155"/>
      <c r="O180" s="155"/>
      <c r="P180" s="155"/>
      <c r="Q180" s="157"/>
      <c r="R180" s="154"/>
      <c r="S180" s="154"/>
    </row>
    <row r="181" ht="33.75" customHeight="1">
      <c r="A181" s="154"/>
      <c r="B181" s="154"/>
      <c r="C181" s="155"/>
      <c r="D181" s="156"/>
      <c r="E181" s="155"/>
      <c r="F181" s="155"/>
      <c r="G181" s="155"/>
      <c r="H181" s="157"/>
      <c r="I181" s="154"/>
      <c r="J181" s="154"/>
      <c r="K181" s="154"/>
      <c r="L181" s="155"/>
      <c r="M181" s="156"/>
      <c r="N181" s="155"/>
      <c r="O181" s="155"/>
      <c r="P181" s="155"/>
      <c r="Q181" s="157"/>
      <c r="R181" s="154"/>
      <c r="S181" s="154"/>
    </row>
    <row r="182" ht="33.75" customHeight="1">
      <c r="A182" s="154"/>
      <c r="B182" s="154"/>
      <c r="C182" s="155"/>
      <c r="D182" s="156"/>
      <c r="E182" s="155"/>
      <c r="F182" s="155"/>
      <c r="G182" s="155"/>
      <c r="H182" s="157"/>
      <c r="I182" s="154"/>
      <c r="J182" s="154"/>
      <c r="K182" s="154"/>
      <c r="L182" s="155"/>
      <c r="M182" s="156"/>
      <c r="N182" s="155"/>
      <c r="O182" s="155"/>
      <c r="P182" s="155"/>
      <c r="Q182" s="157"/>
      <c r="R182" s="154"/>
      <c r="S182" s="154"/>
    </row>
    <row r="183" ht="33.75" customHeight="1">
      <c r="A183" s="154"/>
      <c r="B183" s="154"/>
      <c r="C183" s="155"/>
      <c r="D183" s="156"/>
      <c r="E183" s="155"/>
      <c r="F183" s="155"/>
      <c r="G183" s="155"/>
      <c r="H183" s="157"/>
      <c r="I183" s="154"/>
      <c r="J183" s="154"/>
      <c r="K183" s="154"/>
      <c r="L183" s="155"/>
      <c r="M183" s="156"/>
      <c r="N183" s="155"/>
      <c r="O183" s="155"/>
      <c r="P183" s="155"/>
      <c r="Q183" s="157"/>
      <c r="R183" s="154"/>
      <c r="S183" s="154"/>
    </row>
    <row r="184">
      <c r="A184" s="154"/>
      <c r="B184" s="154"/>
      <c r="C184" s="155"/>
      <c r="D184" s="156"/>
      <c r="E184" s="155"/>
      <c r="F184" s="155"/>
      <c r="G184" s="155"/>
      <c r="H184" s="157"/>
      <c r="I184" s="154"/>
      <c r="J184" s="154"/>
      <c r="K184" s="154"/>
      <c r="L184" s="155"/>
      <c r="M184" s="156"/>
      <c r="N184" s="155"/>
      <c r="O184" s="155"/>
      <c r="P184" s="155"/>
      <c r="Q184" s="157"/>
      <c r="R184" s="154"/>
      <c r="S184" s="154"/>
    </row>
    <row r="185">
      <c r="A185" s="154"/>
      <c r="B185" s="154"/>
      <c r="C185" s="155"/>
      <c r="D185" s="156"/>
      <c r="E185" s="155"/>
      <c r="F185" s="155"/>
      <c r="G185" s="155"/>
      <c r="H185" s="157"/>
      <c r="I185" s="154"/>
      <c r="J185" s="154"/>
      <c r="K185" s="154"/>
      <c r="L185" s="155"/>
      <c r="M185" s="156"/>
      <c r="N185" s="155"/>
      <c r="O185" s="155"/>
      <c r="P185" s="155"/>
      <c r="Q185" s="157"/>
      <c r="R185" s="154"/>
      <c r="S185" s="154"/>
    </row>
    <row r="186">
      <c r="A186" s="154"/>
      <c r="B186" s="154"/>
      <c r="C186" s="155"/>
      <c r="D186" s="156"/>
      <c r="E186" s="155"/>
      <c r="F186" s="155"/>
      <c r="G186" s="155"/>
      <c r="H186" s="157"/>
      <c r="I186" s="154"/>
      <c r="J186" s="154"/>
      <c r="K186" s="154"/>
      <c r="L186" s="155"/>
      <c r="M186" s="156"/>
      <c r="N186" s="155"/>
      <c r="O186" s="155"/>
      <c r="P186" s="155"/>
      <c r="Q186" s="157"/>
      <c r="R186" s="154"/>
      <c r="S186" s="154"/>
    </row>
    <row r="187">
      <c r="A187" s="154"/>
      <c r="B187" s="154"/>
      <c r="C187" s="155"/>
      <c r="D187" s="156"/>
      <c r="E187" s="155"/>
      <c r="F187" s="155"/>
      <c r="G187" s="155"/>
      <c r="H187" s="157"/>
      <c r="I187" s="154"/>
      <c r="J187" s="154"/>
      <c r="K187" s="154"/>
      <c r="L187" s="155"/>
      <c r="M187" s="156"/>
      <c r="N187" s="155"/>
      <c r="O187" s="155"/>
      <c r="P187" s="155"/>
      <c r="Q187" s="157"/>
      <c r="R187" s="154"/>
      <c r="S187" s="154"/>
    </row>
    <row r="188">
      <c r="A188" s="154"/>
      <c r="B188" s="154"/>
      <c r="C188" s="155"/>
      <c r="D188" s="156"/>
      <c r="E188" s="155"/>
      <c r="F188" s="155"/>
      <c r="G188" s="155"/>
      <c r="H188" s="157"/>
      <c r="I188" s="154"/>
      <c r="J188" s="154"/>
      <c r="K188" s="154"/>
      <c r="L188" s="155"/>
      <c r="M188" s="156"/>
      <c r="N188" s="155"/>
      <c r="O188" s="155"/>
      <c r="P188" s="155"/>
      <c r="Q188" s="157"/>
      <c r="R188" s="154"/>
      <c r="S188" s="154"/>
    </row>
    <row r="189">
      <c r="A189" s="154"/>
      <c r="B189" s="154"/>
      <c r="C189" s="155"/>
      <c r="D189" s="156"/>
      <c r="E189" s="155"/>
      <c r="F189" s="155"/>
      <c r="G189" s="155"/>
      <c r="H189" s="157"/>
      <c r="I189" s="154"/>
      <c r="J189" s="154"/>
      <c r="K189" s="154"/>
      <c r="L189" s="155"/>
      <c r="M189" s="156"/>
      <c r="N189" s="155"/>
      <c r="O189" s="155"/>
      <c r="P189" s="155"/>
      <c r="Q189" s="157"/>
      <c r="R189" s="154"/>
      <c r="S189" s="154"/>
    </row>
    <row r="190">
      <c r="A190" s="154"/>
      <c r="B190" s="154"/>
      <c r="C190" s="155"/>
      <c r="D190" s="156"/>
      <c r="E190" s="155"/>
      <c r="F190" s="155"/>
      <c r="G190" s="155"/>
      <c r="H190" s="157"/>
      <c r="I190" s="154"/>
      <c r="J190" s="154"/>
      <c r="K190" s="154"/>
      <c r="L190" s="155"/>
      <c r="M190" s="156"/>
      <c r="N190" s="155"/>
      <c r="O190" s="155"/>
      <c r="P190" s="155"/>
      <c r="Q190" s="157"/>
      <c r="R190" s="154"/>
      <c r="S190" s="154"/>
    </row>
    <row r="191">
      <c r="A191" s="154"/>
      <c r="B191" s="154"/>
      <c r="C191" s="155"/>
      <c r="D191" s="156"/>
      <c r="E191" s="155"/>
      <c r="F191" s="155"/>
      <c r="G191" s="155"/>
      <c r="H191" s="157"/>
      <c r="I191" s="154"/>
      <c r="J191" s="154"/>
      <c r="K191" s="154"/>
      <c r="L191" s="155"/>
      <c r="M191" s="156"/>
      <c r="N191" s="155"/>
      <c r="O191" s="155"/>
      <c r="P191" s="155"/>
      <c r="Q191" s="157"/>
      <c r="R191" s="154"/>
      <c r="S191" s="154"/>
    </row>
    <row r="192">
      <c r="A192" s="154"/>
      <c r="B192" s="154"/>
      <c r="C192" s="155"/>
      <c r="D192" s="156"/>
      <c r="E192" s="155"/>
      <c r="F192" s="155"/>
      <c r="G192" s="155"/>
      <c r="H192" s="157"/>
      <c r="I192" s="154"/>
      <c r="J192" s="154"/>
      <c r="K192" s="154"/>
      <c r="L192" s="155"/>
      <c r="M192" s="156"/>
      <c r="N192" s="155"/>
      <c r="O192" s="155"/>
      <c r="P192" s="155"/>
      <c r="Q192" s="157"/>
      <c r="R192" s="154"/>
      <c r="S192" s="154"/>
    </row>
    <row r="193">
      <c r="A193" s="154"/>
      <c r="B193" s="154"/>
      <c r="C193" s="155"/>
      <c r="D193" s="156"/>
      <c r="E193" s="155"/>
      <c r="F193" s="155"/>
      <c r="G193" s="155"/>
      <c r="H193" s="157"/>
      <c r="I193" s="154"/>
      <c r="J193" s="154"/>
      <c r="K193" s="154"/>
      <c r="L193" s="155"/>
      <c r="M193" s="156"/>
      <c r="N193" s="155"/>
      <c r="O193" s="155"/>
      <c r="P193" s="155"/>
      <c r="Q193" s="157"/>
      <c r="R193" s="154"/>
      <c r="S193" s="154"/>
    </row>
    <row r="194">
      <c r="A194" s="154"/>
      <c r="B194" s="154"/>
      <c r="C194" s="155"/>
      <c r="D194" s="156"/>
      <c r="E194" s="155"/>
      <c r="F194" s="155"/>
      <c r="G194" s="155"/>
      <c r="H194" s="157"/>
      <c r="I194" s="154"/>
      <c r="J194" s="154"/>
      <c r="K194" s="154"/>
      <c r="L194" s="155"/>
      <c r="M194" s="156"/>
      <c r="N194" s="155"/>
      <c r="O194" s="155"/>
      <c r="P194" s="155"/>
      <c r="Q194" s="157"/>
      <c r="R194" s="154"/>
      <c r="S194" s="154"/>
    </row>
    <row r="195">
      <c r="A195" s="154"/>
      <c r="B195" s="154"/>
      <c r="C195" s="155"/>
      <c r="D195" s="156"/>
      <c r="E195" s="155"/>
      <c r="F195" s="155"/>
      <c r="G195" s="155"/>
      <c r="H195" s="157"/>
      <c r="I195" s="154"/>
      <c r="J195" s="154"/>
      <c r="K195" s="154"/>
      <c r="L195" s="155"/>
      <c r="M195" s="156"/>
      <c r="N195" s="155"/>
      <c r="O195" s="155"/>
      <c r="P195" s="155"/>
      <c r="Q195" s="157"/>
      <c r="R195" s="154"/>
      <c r="S195" s="154"/>
    </row>
    <row r="196">
      <c r="A196" s="154"/>
      <c r="B196" s="154"/>
      <c r="C196" s="155"/>
      <c r="D196" s="156"/>
      <c r="E196" s="155"/>
      <c r="F196" s="155"/>
      <c r="G196" s="155"/>
      <c r="H196" s="157"/>
      <c r="I196" s="154"/>
      <c r="J196" s="154"/>
      <c r="K196" s="154"/>
      <c r="L196" s="155"/>
      <c r="M196" s="156"/>
      <c r="N196" s="155"/>
      <c r="O196" s="155"/>
      <c r="P196" s="155"/>
      <c r="Q196" s="157"/>
      <c r="R196" s="154"/>
      <c r="S196" s="154"/>
    </row>
    <row r="197">
      <c r="A197" s="154"/>
      <c r="B197" s="154"/>
      <c r="C197" s="155"/>
      <c r="D197" s="156"/>
      <c r="E197" s="155"/>
      <c r="F197" s="155"/>
      <c r="G197" s="155"/>
      <c r="H197" s="157"/>
      <c r="I197" s="154"/>
      <c r="J197" s="154"/>
      <c r="K197" s="154"/>
      <c r="L197" s="155"/>
      <c r="M197" s="156"/>
      <c r="N197" s="155"/>
      <c r="O197" s="155"/>
      <c r="P197" s="155"/>
      <c r="Q197" s="157"/>
      <c r="R197" s="154"/>
      <c r="S197" s="154"/>
    </row>
    <row r="198">
      <c r="A198" s="154"/>
      <c r="B198" s="154"/>
      <c r="C198" s="155"/>
      <c r="D198" s="156"/>
      <c r="E198" s="155"/>
      <c r="F198" s="155"/>
      <c r="G198" s="155"/>
      <c r="H198" s="157"/>
      <c r="I198" s="154"/>
      <c r="J198" s="154"/>
      <c r="K198" s="154"/>
      <c r="L198" s="155"/>
      <c r="M198" s="156"/>
      <c r="N198" s="155"/>
      <c r="O198" s="155"/>
      <c r="P198" s="155"/>
      <c r="Q198" s="157"/>
      <c r="R198" s="154"/>
      <c r="S198" s="154"/>
    </row>
    <row r="199">
      <c r="A199" s="154"/>
      <c r="B199" s="154"/>
      <c r="C199" s="155"/>
      <c r="D199" s="156"/>
      <c r="E199" s="155"/>
      <c r="F199" s="155"/>
      <c r="G199" s="155"/>
      <c r="H199" s="157"/>
      <c r="I199" s="154"/>
      <c r="J199" s="154"/>
      <c r="K199" s="154"/>
      <c r="L199" s="155"/>
      <c r="M199" s="156"/>
      <c r="N199" s="155"/>
      <c r="O199" s="155"/>
      <c r="P199" s="155"/>
      <c r="Q199" s="157"/>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row r="591">
      <c r="A591" s="154"/>
      <c r="B591" s="154"/>
      <c r="C591" s="155"/>
      <c r="D591" s="156"/>
      <c r="E591" s="155"/>
      <c r="F591" s="155"/>
      <c r="G591" s="155"/>
      <c r="H591" s="157"/>
      <c r="I591" s="154"/>
      <c r="J591" s="154"/>
      <c r="K591" s="154"/>
      <c r="L591" s="155"/>
      <c r="M591" s="156"/>
      <c r="N591" s="155"/>
      <c r="O591" s="155"/>
      <c r="P591" s="155"/>
      <c r="Q591" s="157"/>
      <c r="R591" s="154"/>
      <c r="S591" s="154"/>
    </row>
    <row r="592">
      <c r="A592" s="154"/>
      <c r="B592" s="154"/>
      <c r="C592" s="155"/>
      <c r="D592" s="156"/>
      <c r="E592" s="155"/>
      <c r="F592" s="155"/>
      <c r="G592" s="155"/>
      <c r="H592" s="157"/>
      <c r="I592" s="154"/>
      <c r="J592" s="154"/>
      <c r="K592" s="154"/>
      <c r="L592" s="155"/>
      <c r="M592" s="156"/>
      <c r="N592" s="155"/>
      <c r="O592" s="155"/>
      <c r="P592" s="155"/>
      <c r="Q592" s="157"/>
      <c r="R592" s="154"/>
      <c r="S592" s="154"/>
    </row>
    <row r="593">
      <c r="A593" s="154"/>
      <c r="B593" s="154"/>
      <c r="C593" s="155"/>
      <c r="D593" s="156"/>
      <c r="E593" s="155"/>
      <c r="F593" s="155"/>
      <c r="G593" s="155"/>
      <c r="H593" s="157"/>
      <c r="I593" s="154"/>
      <c r="J593" s="154"/>
      <c r="K593" s="154"/>
      <c r="L593" s="155"/>
      <c r="M593" s="156"/>
      <c r="N593" s="155"/>
      <c r="O593" s="155"/>
      <c r="P593" s="155"/>
      <c r="Q593" s="157"/>
      <c r="R593" s="154"/>
      <c r="S593" s="154"/>
    </row>
    <row r="594">
      <c r="A594" s="154"/>
      <c r="B594" s="154"/>
      <c r="C594" s="155"/>
      <c r="D594" s="156"/>
      <c r="E594" s="155"/>
      <c r="F594" s="155"/>
      <c r="G594" s="155"/>
      <c r="H594" s="157"/>
      <c r="I594" s="154"/>
      <c r="J594" s="154"/>
      <c r="K594" s="154"/>
      <c r="L594" s="155"/>
      <c r="M594" s="156"/>
      <c r="N594" s="155"/>
      <c r="O594" s="155"/>
      <c r="P594" s="155"/>
      <c r="Q594" s="157"/>
      <c r="R594" s="154"/>
      <c r="S594" s="154"/>
    </row>
    <row r="595">
      <c r="A595" s="154"/>
      <c r="B595" s="154"/>
      <c r="C595" s="155"/>
      <c r="D595" s="156"/>
      <c r="E595" s="155"/>
      <c r="F595" s="155"/>
      <c r="G595" s="155"/>
      <c r="H595" s="157"/>
      <c r="I595" s="154"/>
      <c r="J595" s="154"/>
      <c r="K595" s="154"/>
      <c r="L595" s="155"/>
      <c r="M595" s="156"/>
      <c r="N595" s="155"/>
      <c r="O595" s="155"/>
      <c r="P595" s="155"/>
      <c r="Q595" s="157"/>
      <c r="R595" s="154"/>
      <c r="S595" s="154"/>
    </row>
    <row r="596">
      <c r="A596" s="154"/>
      <c r="B596" s="154"/>
      <c r="C596" s="155"/>
      <c r="D596" s="156"/>
      <c r="E596" s="155"/>
      <c r="F596" s="155"/>
      <c r="G596" s="155"/>
      <c r="H596" s="157"/>
      <c r="I596" s="154"/>
      <c r="J596" s="154"/>
      <c r="K596" s="154"/>
      <c r="L596" s="155"/>
      <c r="M596" s="156"/>
      <c r="N596" s="155"/>
      <c r="O596" s="155"/>
      <c r="P596" s="155"/>
      <c r="Q596" s="157"/>
      <c r="R596" s="154"/>
      <c r="S596" s="154"/>
    </row>
    <row r="597">
      <c r="A597" s="154"/>
      <c r="B597" s="154"/>
      <c r="C597" s="155"/>
      <c r="D597" s="156"/>
      <c r="E597" s="155"/>
      <c r="F597" s="155"/>
      <c r="G597" s="155"/>
      <c r="H597" s="157"/>
      <c r="I597" s="154"/>
      <c r="J597" s="154"/>
      <c r="K597" s="154"/>
      <c r="L597" s="155"/>
      <c r="M597" s="156"/>
      <c r="N597" s="155"/>
      <c r="O597" s="155"/>
      <c r="P597" s="155"/>
      <c r="Q597" s="157"/>
      <c r="R597" s="154"/>
      <c r="S597" s="154"/>
    </row>
  </sheetData>
  <mergeCells count="6">
    <mergeCell ref="C1:H1"/>
    <mergeCell ref="L1:Q1"/>
    <mergeCell ref="C2:H2"/>
    <mergeCell ref="L2:Q2"/>
    <mergeCell ref="C3:H3"/>
    <mergeCell ref="L3:Q3"/>
  </mergeCells>
  <dataValidations>
    <dataValidation type="list" allowBlank="1" showErrorMessage="1" sqref="A1:C1 I1:L1 R1:S1">
      <formula1>'All Competencies'!$A$3:$A597</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M7"/>
    <hyperlink r:id="rId11" ref="Q7"/>
    <hyperlink r:id="rId12" ref="D8"/>
    <hyperlink r:id="rId13" ref="M8"/>
    <hyperlink r:id="rId14" ref="Q8"/>
    <hyperlink r:id="rId15" ref="D9"/>
    <hyperlink r:id="rId16" ref="M9"/>
    <hyperlink r:id="rId17" ref="Q9"/>
    <hyperlink r:id="rId18" ref="D10"/>
    <hyperlink r:id="rId19" ref="M10"/>
    <hyperlink r:id="rId20" ref="Q10"/>
    <hyperlink r:id="rId21" ref="D11"/>
    <hyperlink r:id="rId22" ref="M11"/>
    <hyperlink r:id="rId23" ref="D12"/>
    <hyperlink r:id="rId24" ref="M12"/>
    <hyperlink r:id="rId25" ref="D13"/>
    <hyperlink r:id="rId26" ref="M13"/>
    <hyperlink r:id="rId27" ref="D14"/>
    <hyperlink r:id="rId28" ref="M14"/>
    <hyperlink r:id="rId29" ref="D15"/>
    <hyperlink r:id="rId30" ref="M15"/>
    <hyperlink r:id="rId31" ref="D16"/>
    <hyperlink r:id="rId32" ref="M16"/>
    <hyperlink r:id="rId33" ref="D17"/>
    <hyperlink r:id="rId34" ref="M17"/>
    <hyperlink r:id="rId35" ref="D18"/>
    <hyperlink r:id="rId36" ref="M18"/>
    <hyperlink r:id="rId37" ref="D19"/>
    <hyperlink r:id="rId38" ref="M19"/>
    <hyperlink r:id="rId39" ref="D20"/>
    <hyperlink r:id="rId40" ref="M20"/>
    <hyperlink r:id="rId41" ref="D21"/>
    <hyperlink r:id="rId42" ref="M21"/>
    <hyperlink r:id="rId43" ref="D22"/>
    <hyperlink r:id="rId44" ref="M22"/>
    <hyperlink r:id="rId45" ref="D23"/>
    <hyperlink r:id="rId46" ref="M23"/>
    <hyperlink r:id="rId47" ref="D24"/>
    <hyperlink r:id="rId48" ref="M24"/>
    <hyperlink r:id="rId49" ref="D25"/>
    <hyperlink r:id="rId50" ref="M25"/>
    <hyperlink r:id="rId51" ref="D26"/>
    <hyperlink r:id="rId52" ref="M26"/>
    <hyperlink r:id="rId53" ref="D27"/>
    <hyperlink r:id="rId54" ref="M27"/>
    <hyperlink r:id="rId55" ref="D28"/>
    <hyperlink r:id="rId56" ref="M28"/>
    <hyperlink r:id="rId57" ref="D29"/>
    <hyperlink r:id="rId58" ref="M29"/>
    <hyperlink r:id="rId59" ref="D30"/>
    <hyperlink r:id="rId60" ref="M30"/>
    <hyperlink r:id="rId61" ref="D31"/>
    <hyperlink r:id="rId62" ref="M31"/>
    <hyperlink r:id="rId63" ref="M32"/>
    <hyperlink r:id="rId64" ref="M33"/>
    <hyperlink r:id="rId65" ref="M34"/>
    <hyperlink r:id="rId66" ref="M35"/>
    <hyperlink r:id="rId67" ref="M36"/>
    <hyperlink r:id="rId68" ref="M37"/>
    <hyperlink r:id="rId69" ref="M38"/>
    <hyperlink r:id="rId70" ref="M39"/>
    <hyperlink r:id="rId71" ref="M40"/>
    <hyperlink r:id="rId72" ref="M41"/>
    <hyperlink r:id="rId73" ref="M42"/>
    <hyperlink r:id="rId74" ref="M43"/>
    <hyperlink r:id="rId75" ref="M44"/>
    <hyperlink r:id="rId76" ref="M45"/>
    <hyperlink r:id="rId77" ref="M46"/>
    <hyperlink r:id="rId78" ref="M47"/>
    <hyperlink r:id="rId79" ref="M48"/>
    <hyperlink r:id="rId80" ref="M49"/>
    <hyperlink r:id="rId81" ref="M50"/>
    <hyperlink r:id="rId82" ref="M51"/>
    <hyperlink r:id="rId83" ref="M52"/>
    <hyperlink r:id="rId84" ref="M53"/>
    <hyperlink r:id="rId85" ref="M54"/>
    <hyperlink r:id="rId86" ref="M55"/>
    <hyperlink r:id="rId87" ref="M56"/>
    <hyperlink r:id="rId88" ref="M57"/>
    <hyperlink r:id="rId89" ref="M58"/>
    <hyperlink r:id="rId90" ref="M59"/>
    <hyperlink r:id="rId91" ref="M60"/>
    <hyperlink r:id="rId92" ref="M61"/>
    <hyperlink r:id="rId93" ref="M62"/>
    <hyperlink r:id="rId94" ref="M63"/>
    <hyperlink r:id="rId95" ref="M64"/>
    <hyperlink r:id="rId96" ref="M65"/>
    <hyperlink r:id="rId97" ref="M66"/>
    <hyperlink r:id="rId98" ref="M67"/>
    <hyperlink r:id="rId99" ref="M68"/>
    <hyperlink r:id="rId100" ref="M69"/>
    <hyperlink r:id="rId101" ref="M70"/>
    <hyperlink r:id="rId102" ref="M71"/>
    <hyperlink r:id="rId103" ref="M72"/>
    <hyperlink r:id="rId104" ref="M73"/>
    <hyperlink r:id="rId105" ref="M74"/>
    <hyperlink r:id="rId106" ref="M75"/>
    <hyperlink r:id="rId107" ref="M76"/>
    <hyperlink r:id="rId108" ref="M77"/>
    <hyperlink r:id="rId109" ref="M78"/>
    <hyperlink r:id="rId110" ref="M79"/>
    <hyperlink r:id="rId111" ref="M80"/>
    <hyperlink r:id="rId112" ref="M81"/>
    <hyperlink r:id="rId113" ref="M82"/>
    <hyperlink r:id="rId114" ref="M83"/>
    <hyperlink r:id="rId115" ref="M84"/>
    <hyperlink r:id="rId116" ref="M85"/>
    <hyperlink r:id="rId117" ref="M86"/>
    <hyperlink r:id="rId118" ref="M87"/>
    <hyperlink r:id="rId119" ref="M88"/>
    <hyperlink r:id="rId120" ref="M89"/>
    <hyperlink r:id="rId121" ref="M90"/>
    <hyperlink r:id="rId122" ref="M91"/>
    <hyperlink r:id="rId123" ref="M92"/>
    <hyperlink r:id="rId124" ref="M93"/>
    <hyperlink r:id="rId125" ref="M94"/>
    <hyperlink r:id="rId126" ref="M95"/>
    <hyperlink r:id="rId127" ref="M96"/>
    <hyperlink r:id="rId128" ref="M97"/>
    <hyperlink r:id="rId129" ref="M98"/>
    <hyperlink r:id="rId130" ref="M99"/>
    <hyperlink r:id="rId131" ref="M100"/>
    <hyperlink r:id="rId132" ref="M101"/>
    <hyperlink r:id="rId133" ref="M102"/>
    <hyperlink r:id="rId134" ref="M103"/>
    <hyperlink r:id="rId135" ref="M104"/>
    <hyperlink r:id="rId136" ref="M105"/>
    <hyperlink r:id="rId137" ref="M106"/>
    <hyperlink r:id="rId138" ref="M107"/>
    <hyperlink r:id="rId139" ref="M108"/>
    <hyperlink r:id="rId140" ref="M109"/>
    <hyperlink r:id="rId141" ref="M110"/>
    <hyperlink r:id="rId142" ref="M111"/>
    <hyperlink r:id="rId143" ref="M112"/>
    <hyperlink r:id="rId144" ref="M113"/>
    <hyperlink r:id="rId145" ref="M114"/>
    <hyperlink r:id="rId146" ref="M115"/>
    <hyperlink r:id="rId147" ref="M116"/>
    <hyperlink r:id="rId148" ref="M117"/>
    <hyperlink r:id="rId149" ref="M118"/>
    <hyperlink r:id="rId150" ref="M119"/>
    <hyperlink r:id="rId151" ref="M120"/>
    <hyperlink r:id="rId152" ref="M121"/>
    <hyperlink r:id="rId153" ref="M122"/>
    <hyperlink r:id="rId154" ref="M123"/>
    <hyperlink r:id="rId155" ref="M124"/>
    <hyperlink r:id="rId156" ref="M125"/>
    <hyperlink r:id="rId157" ref="M126"/>
    <hyperlink r:id="rId158" ref="M127"/>
    <hyperlink r:id="rId159" ref="M128"/>
    <hyperlink r:id="rId160" ref="M129"/>
    <hyperlink r:id="rId161" ref="M130"/>
    <hyperlink r:id="rId162" ref="M131"/>
    <hyperlink r:id="rId163" ref="M132"/>
    <hyperlink r:id="rId164" ref="M133"/>
    <hyperlink r:id="rId165" ref="M134"/>
    <hyperlink r:id="rId166" ref="M135"/>
    <hyperlink r:id="rId167" ref="M136"/>
    <hyperlink r:id="rId168" ref="M137"/>
    <hyperlink r:id="rId169" ref="M138"/>
    <hyperlink r:id="rId170" ref="M139"/>
  </hyperlinks>
  <drawing r:id="rId17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22.38"/>
    <col customWidth="1" min="6" max="6" width="25.13"/>
    <col customWidth="1" min="7" max="7" width="23.38"/>
    <col customWidth="1" min="8" max="8" width="44.0"/>
    <col customWidth="1" min="9" max="13" width="0.63"/>
  </cols>
  <sheetData>
    <row r="1" ht="27.75" customHeight="1" outlineLevel="1">
      <c r="A1" s="130"/>
      <c r="B1" s="130"/>
      <c r="C1" s="131" t="s">
        <v>1923</v>
      </c>
      <c r="I1" s="130"/>
      <c r="J1" s="130"/>
      <c r="K1" s="130"/>
      <c r="L1" s="130"/>
      <c r="M1" s="130"/>
    </row>
    <row r="2" outlineLevel="1">
      <c r="A2" s="132"/>
      <c r="B2" s="132"/>
      <c r="C2" s="133" t="s">
        <v>1986</v>
      </c>
      <c r="I2" s="132"/>
      <c r="J2" s="132"/>
      <c r="K2" s="132"/>
      <c r="L2" s="132"/>
      <c r="M2" s="132"/>
    </row>
    <row r="3" ht="32.25" customHeight="1" outlineLevel="1">
      <c r="A3" s="134"/>
      <c r="B3" s="134"/>
      <c r="C3" s="135" t="str">
        <f>IFERROR(__xludf.DUMMYFUNCTION("IFERROR(UNIQUE(FILTER('Competency Learning Paths'!N:N,'Competency Learning Paths'!A:A= C1)))"),"Executive presence, servant leadership, leading virtually, digital leadership, leading teams, inclusive leadership, leading with vision")</f>
        <v>Executive presence, servant leadership, leading virtually, digital leadership, leading teams, inclusive leadership, leading with vision</v>
      </c>
      <c r="I3" s="134"/>
      <c r="J3" s="134"/>
      <c r="K3" s="134"/>
      <c r="L3" s="134"/>
      <c r="M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9"/>
      <c r="M4" s="136"/>
    </row>
    <row r="5" ht="33.75" customHeight="1">
      <c r="A5" s="140"/>
      <c r="B5" s="140"/>
      <c r="C5" s="141">
        <f>IFERROR(__xludf.DUMMYFUNCTION("""COMPUTED_VALUE"""),758617.0)</f>
        <v>758617</v>
      </c>
      <c r="D5" s="142" t="str">
        <f>IFERROR(__xludf.DUMMYFUNCTION("""COMPUTED_VALUE"""),"Leading Change")</f>
        <v>Leading Change</v>
      </c>
      <c r="E5" s="141" t="str">
        <f>IFERROR(__xludf.DUMMYFUNCTION("""COMPUTED_VALUE"""),"C-Suite")</f>
        <v>C-Suite</v>
      </c>
      <c r="F5" s="141" t="str">
        <f>IFERROR(__xludf.DUMMYFUNCTION("""COMPUTED_VALUE"""),"Advanced")</f>
        <v>Advanced</v>
      </c>
      <c r="G5" s="143">
        <f>IFERROR(__xludf.DUMMYFUNCTION("""COMPUTED_VALUE"""),0.05005787037037037)</f>
        <v>0.05005787037</v>
      </c>
      <c r="H5" s="144" t="str">
        <f>IFERROR(__xludf.DUMMYFUNCTION("""COMPUTED_VALUE"""),"Become a Leader")</f>
        <v>Become a Leader</v>
      </c>
      <c r="I5" s="140"/>
      <c r="J5" s="140"/>
      <c r="K5" s="140"/>
      <c r="L5" s="140"/>
      <c r="M5" s="140"/>
    </row>
    <row r="6">
      <c r="A6" s="140"/>
      <c r="B6" s="140"/>
      <c r="C6" s="147">
        <f>IFERROR(__xludf.DUMMYFUNCTION("""COMPUTED_VALUE"""),2806194.0)</f>
        <v>2806194</v>
      </c>
      <c r="D6" s="148" t="str">
        <f>IFERROR(__xludf.DUMMYFUNCTION("""COMPUTED_VALUE"""),"Counterintuitive Leadership Strategies for a VUCA (Volatile, Uncertain, Complex, Ambiguous) Environment")</f>
        <v>Counterintuitive Leadership Strategies for a VUCA (Volatile, Uncertain, Complex, Ambiguous) Environment</v>
      </c>
      <c r="E6" s="147" t="str">
        <f>IFERROR(__xludf.DUMMYFUNCTION("""COMPUTED_VALUE"""),"C-Suite")</f>
        <v>C-Suite</v>
      </c>
      <c r="F6" s="141" t="str">
        <f>IFERROR(__xludf.DUMMYFUNCTION("""COMPUTED_VALUE"""),"Advanced")</f>
        <v>Advanced</v>
      </c>
      <c r="G6" s="143">
        <f>IFERROR(__xludf.DUMMYFUNCTION("""COMPUTED_VALUE"""),0.040150462962962964)</f>
        <v>0.04015046296</v>
      </c>
      <c r="H6" s="149" t="str">
        <f>IFERROR(__xludf.DUMMYFUNCTION("""COMPUTED_VALUE"""),"Become a Leader People Love")</f>
        <v>Become a Leader People Love</v>
      </c>
      <c r="I6" s="140"/>
      <c r="J6" s="140"/>
      <c r="K6" s="140"/>
      <c r="L6" s="140"/>
      <c r="M6" s="140"/>
    </row>
    <row r="7">
      <c r="A7" s="140"/>
      <c r="B7" s="140"/>
      <c r="C7" s="147">
        <f>IFERROR(__xludf.DUMMYFUNCTION("""COMPUTED_VALUE"""),2822090.0)</f>
        <v>2822090</v>
      </c>
      <c r="D7" s="148" t="str">
        <f>IFERROR(__xludf.DUMMYFUNCTION("""COMPUTED_VALUE"""),"Vision in Action: Leaders Live Case Studies")</f>
        <v>Vision in Action: Leaders Live Case Studies</v>
      </c>
      <c r="E7" s="147" t="str">
        <f>IFERROR(__xludf.DUMMYFUNCTION("""COMPUTED_VALUE"""),"C-Suite")</f>
        <v>C-Suite</v>
      </c>
      <c r="F7" s="141" t="str">
        <f>IFERROR(__xludf.DUMMYFUNCTION("""COMPUTED_VALUE"""),"Advanced")</f>
        <v>Advanced</v>
      </c>
      <c r="G7" s="143">
        <f>IFERROR(__xludf.DUMMYFUNCTION("""COMPUTED_VALUE"""),0.018969907407407408)</f>
        <v>0.01896990741</v>
      </c>
      <c r="H7" s="149" t="str">
        <f>IFERROR(__xludf.DUMMYFUNCTION("""COMPUTED_VALUE"""),"Become a Manager")</f>
        <v>Become a Manager</v>
      </c>
      <c r="I7" s="140"/>
      <c r="J7" s="140"/>
      <c r="K7" s="140"/>
      <c r="L7" s="140"/>
      <c r="M7" s="140"/>
    </row>
    <row r="8">
      <c r="A8" s="140"/>
      <c r="B8" s="140"/>
      <c r="C8" s="147">
        <f>IFERROR(__xludf.DUMMYFUNCTION("""COMPUTED_VALUE"""),772318.0)</f>
        <v>772318</v>
      </c>
      <c r="D8" s="148" t="str">
        <f>IFERROR(__xludf.DUMMYFUNCTION("""COMPUTED_VALUE"""),"Leading the Organization Monthly")</f>
        <v>Leading the Organization Monthly</v>
      </c>
      <c r="E8" s="147" t="str">
        <f>IFERROR(__xludf.DUMMYFUNCTION("""COMPUTED_VALUE"""),"C-Suite")</f>
        <v>C-Suite</v>
      </c>
      <c r="F8" s="141" t="str">
        <f>IFERROR(__xludf.DUMMYFUNCTION("""COMPUTED_VALUE"""),"Advanced")</f>
        <v>Advanced</v>
      </c>
      <c r="G8" s="143">
        <f>IFERROR(__xludf.DUMMYFUNCTION("""COMPUTED_VALUE"""),0.07532407407407407)</f>
        <v>0.07532407407</v>
      </c>
      <c r="H8" s="149" t="str">
        <f>IFERROR(__xludf.DUMMYFUNCTION("""COMPUTED_VALUE"""),"Become a Thought Leader")</f>
        <v>Become a Thought Leader</v>
      </c>
      <c r="I8" s="140"/>
      <c r="J8" s="140"/>
      <c r="K8" s="140"/>
      <c r="L8" s="140"/>
      <c r="M8" s="140"/>
    </row>
    <row r="9" ht="33.75" customHeight="1">
      <c r="A9" s="140"/>
      <c r="B9" s="140"/>
      <c r="C9" s="147">
        <f>IFERROR(__xludf.DUMMYFUNCTION("""COMPUTED_VALUE"""),706917.0)</f>
        <v>706917</v>
      </c>
      <c r="D9" s="148" t="str">
        <f>IFERROR(__xludf.DUMMYFUNCTION("""COMPUTED_VALUE"""),"Leading Globally")</f>
        <v>Leading Globally</v>
      </c>
      <c r="E9" s="147" t="str">
        <f>IFERROR(__xludf.DUMMYFUNCTION("""COMPUTED_VALUE"""),"C-Suite")</f>
        <v>C-Suite</v>
      </c>
      <c r="F9" s="141" t="str">
        <f>IFERROR(__xludf.DUMMYFUNCTION("""COMPUTED_VALUE"""),"Advanced")</f>
        <v>Advanced</v>
      </c>
      <c r="G9" s="143">
        <f>IFERROR(__xludf.DUMMYFUNCTION("""COMPUTED_VALUE"""),0.053634259259259257)</f>
        <v>0.05363425926</v>
      </c>
      <c r="H9" s="149" t="str">
        <f>IFERROR(__xludf.DUMMYFUNCTION("""COMPUTED_VALUE"""),"Become an Inclusive Leader")</f>
        <v>Become an Inclusive Leader</v>
      </c>
      <c r="I9" s="140"/>
      <c r="J9" s="140"/>
      <c r="K9" s="140"/>
      <c r="L9" s="140"/>
      <c r="M9" s="140"/>
    </row>
    <row r="10" ht="33.75" customHeight="1">
      <c r="A10" s="140"/>
      <c r="B10" s="140"/>
      <c r="C10" s="147">
        <f>IFERROR(__xludf.DUMMYFUNCTION("""COMPUTED_VALUE"""),585010.0)</f>
        <v>585010</v>
      </c>
      <c r="D10" s="148" t="str">
        <f>IFERROR(__xludf.DUMMYFUNCTION("""COMPUTED_VALUE"""),"Leading with Innovation")</f>
        <v>Leading with Innovation</v>
      </c>
      <c r="E10" s="147" t="str">
        <f>IFERROR(__xludf.DUMMYFUNCTION("""COMPUTED_VALUE"""),"C-Suite")</f>
        <v>C-Suite</v>
      </c>
      <c r="F10" s="141" t="str">
        <f>IFERROR(__xludf.DUMMYFUNCTION("""COMPUTED_VALUE"""),"Beginner + Intermediate")</f>
        <v>Beginner + Intermediate</v>
      </c>
      <c r="G10" s="143">
        <f>IFERROR(__xludf.DUMMYFUNCTION("""COMPUTED_VALUE"""),0.0635300925925926)</f>
        <v>0.06353009259</v>
      </c>
      <c r="H10" s="158" t="str">
        <f>IFERROR(__xludf.DUMMYFUNCTION("""COMPUTED_VALUE"""),"Digital Transformation for Tech Leaders")</f>
        <v>Digital Transformation for Tech Leaders</v>
      </c>
      <c r="I10" s="140"/>
      <c r="J10" s="140"/>
      <c r="K10" s="140"/>
      <c r="L10" s="140"/>
      <c r="M10" s="140"/>
    </row>
    <row r="11" ht="33.75" customHeight="1">
      <c r="A11" s="140"/>
      <c r="B11" s="140"/>
      <c r="C11" s="147">
        <f>IFERROR(__xludf.DUMMYFUNCTION("""COMPUTED_VALUE"""),645018.0)</f>
        <v>645018</v>
      </c>
      <c r="D11" s="148" t="str">
        <f>IFERROR(__xludf.DUMMYFUNCTION("""COMPUTED_VALUE"""),"Ryan Holmes on Social Leadership")</f>
        <v>Ryan Holmes on Social Leadership</v>
      </c>
      <c r="E11" s="147" t="str">
        <f>IFERROR(__xludf.DUMMYFUNCTION("""COMPUTED_VALUE"""),"C-Suite")</f>
        <v>C-Suite</v>
      </c>
      <c r="F11" s="141" t="str">
        <f>IFERROR(__xludf.DUMMYFUNCTION("""COMPUTED_VALUE"""),"General")</f>
        <v>General</v>
      </c>
      <c r="G11" s="143">
        <f>IFERROR(__xludf.DUMMYFUNCTION("""COMPUTED_VALUE"""),0.01056712962962963)</f>
        <v>0.01056712963</v>
      </c>
      <c r="H11" s="149" t="str">
        <f>IFERROR(__xludf.DUMMYFUNCTION("""COMPUTED_VALUE"""),"Diversity, Inclusion, and Belonging for Leaders and Managers")</f>
        <v>Diversity, Inclusion, and Belonging for Leaders and Managers</v>
      </c>
      <c r="I11" s="140"/>
      <c r="J11" s="140"/>
      <c r="K11" s="140"/>
      <c r="L11" s="140"/>
      <c r="M11" s="140"/>
    </row>
    <row r="12" ht="33.75" customHeight="1">
      <c r="A12" s="140"/>
      <c r="B12" s="140"/>
      <c r="C12" s="147">
        <f>IFERROR(__xludf.DUMMYFUNCTION("""COMPUTED_VALUE"""),689764.0)</f>
        <v>689764</v>
      </c>
      <c r="D12" s="148" t="str">
        <f>IFERROR(__xludf.DUMMYFUNCTION("""COMPUTED_VALUE"""),"Leadership Stories: 5-Minute Lessons in Leading People")</f>
        <v>Leadership Stories: 5-Minute Lessons in Leading People</v>
      </c>
      <c r="E12" s="147" t="str">
        <f>IFERROR(__xludf.DUMMYFUNCTION("""COMPUTED_VALUE"""),"C-Suite")</f>
        <v>C-Suite</v>
      </c>
      <c r="F12" s="141" t="str">
        <f>IFERROR(__xludf.DUMMYFUNCTION("""COMPUTED_VALUE"""),"General")</f>
        <v>General</v>
      </c>
      <c r="G12" s="143">
        <f>IFERROR(__xludf.DUMMYFUNCTION("""COMPUTED_VALUE"""),0.13275462962962964)</f>
        <v>0.1327546296</v>
      </c>
      <c r="H12" s="149" t="str">
        <f>IFERROR(__xludf.DUMMYFUNCTION("""COMPUTED_VALUE"""),"Fostering Innovation")</f>
        <v>Fostering Innovation</v>
      </c>
      <c r="I12" s="140"/>
      <c r="J12" s="140"/>
      <c r="K12" s="140"/>
      <c r="L12" s="140"/>
      <c r="M12" s="140"/>
    </row>
    <row r="13" ht="33.75" customHeight="1">
      <c r="A13" s="140"/>
      <c r="B13" s="140"/>
      <c r="C13" s="147">
        <f>IFERROR(__xludf.DUMMYFUNCTION("""COMPUTED_VALUE"""),2241053.0)</f>
        <v>2241053</v>
      </c>
      <c r="D13" s="148" t="str">
        <f>IFERROR(__xludf.DUMMYFUNCTION("""COMPUTED_VALUE"""),"Leading Organizations: Ten Timeless Truths (getAbstract Summary)")</f>
        <v>Leading Organizations: Ten Timeless Truths (getAbstract Summary)</v>
      </c>
      <c r="E13" s="147" t="str">
        <f>IFERROR(__xludf.DUMMYFUNCTION("""COMPUTED_VALUE"""),"C-Suite")</f>
        <v>C-Suite</v>
      </c>
      <c r="F13" s="141" t="str">
        <f>IFERROR(__xludf.DUMMYFUNCTION("""COMPUTED_VALUE"""),"General")</f>
        <v>General</v>
      </c>
      <c r="G13" s="143">
        <f>IFERROR(__xludf.DUMMYFUNCTION("""COMPUTED_VALUE"""),0.009641203703703704)</f>
        <v>0.009641203704</v>
      </c>
      <c r="H13" s="158" t="str">
        <f>IFERROR(__xludf.DUMMYFUNCTION("""COMPUTED_VALUE"""),"Leading Others Effectively")</f>
        <v>Leading Others Effectively</v>
      </c>
      <c r="I13" s="140"/>
      <c r="J13" s="140"/>
      <c r="K13" s="140"/>
      <c r="L13" s="140"/>
      <c r="M13" s="140"/>
    </row>
    <row r="14" ht="33.75" customHeight="1">
      <c r="A14" s="140"/>
      <c r="B14" s="140"/>
      <c r="C14" s="147">
        <f>IFERROR(__xludf.DUMMYFUNCTION("""COMPUTED_VALUE"""),645013.0)</f>
        <v>645013</v>
      </c>
      <c r="D14" s="148" t="str">
        <f>IFERROR(__xludf.DUMMYFUNCTION("""COMPUTED_VALUE"""),"Inclusive Leadership")</f>
        <v>Inclusive Leadership</v>
      </c>
      <c r="E14" s="147" t="str">
        <f>IFERROR(__xludf.DUMMYFUNCTION("""COMPUTED_VALUE"""),"C-Suite")</f>
        <v>C-Suite</v>
      </c>
      <c r="F14" s="141" t="str">
        <f>IFERROR(__xludf.DUMMYFUNCTION("""COMPUTED_VALUE"""),"Intermediate")</f>
        <v>Intermediate</v>
      </c>
      <c r="G14" s="143">
        <f>IFERROR(__xludf.DUMMYFUNCTION("""COMPUTED_VALUE"""),0.04212962962962963)</f>
        <v>0.04212962963</v>
      </c>
      <c r="H14" s="149" t="str">
        <f>IFERROR(__xludf.DUMMYFUNCTION("""COMPUTED_VALUE"""),"Managing and Leading Developers")</f>
        <v>Managing and Leading Developers</v>
      </c>
      <c r="I14" s="140"/>
      <c r="J14" s="140"/>
      <c r="K14" s="140"/>
      <c r="L14" s="140"/>
      <c r="M14" s="140"/>
    </row>
    <row r="15" ht="33.75" customHeight="1">
      <c r="A15" s="140"/>
      <c r="B15" s="140"/>
      <c r="C15" s="147">
        <f>IFERROR(__xludf.DUMMYFUNCTION("""COMPUTED_VALUE"""),518758.0)</f>
        <v>518758</v>
      </c>
      <c r="D15" s="148" t="str">
        <f>IFERROR(__xludf.DUMMYFUNCTION("""COMPUTED_VALUE"""),"Transitioning from Manager to Leader")</f>
        <v>Transitioning from Manager to Leader</v>
      </c>
      <c r="E15" s="147" t="str">
        <f>IFERROR(__xludf.DUMMYFUNCTION("""COMPUTED_VALUE"""),"Senior Manager")</f>
        <v>Senior Manager</v>
      </c>
      <c r="F15" s="141" t="str">
        <f>IFERROR(__xludf.DUMMYFUNCTION("""COMPUTED_VALUE"""),"Beginner + Intermediate")</f>
        <v>Beginner + Intermediate</v>
      </c>
      <c r="G15" s="143">
        <f>IFERROR(__xludf.DUMMYFUNCTION("""COMPUTED_VALUE"""),0.0412037037037037)</f>
        <v>0.0412037037</v>
      </c>
      <c r="H15" s="149" t="str">
        <f>IFERROR(__xludf.DUMMYFUNCTION("""COMPUTED_VALUE"""),"Managing Others Effectively")</f>
        <v>Managing Others Effectively</v>
      </c>
      <c r="I15" s="140"/>
      <c r="J15" s="140"/>
      <c r="K15" s="140"/>
      <c r="L15" s="140"/>
      <c r="M15" s="140"/>
    </row>
    <row r="16" ht="33.75" customHeight="1">
      <c r="A16" s="140"/>
      <c r="B16" s="140"/>
      <c r="C16" s="147">
        <f>IFERROR(__xludf.DUMMYFUNCTION("""COMPUTED_VALUE"""),777382.0)</f>
        <v>777382</v>
      </c>
      <c r="D16" s="148" t="str">
        <f>IFERROR(__xludf.DUMMYFUNCTION("""COMPUTED_VALUE"""),"Transformational Leadership")</f>
        <v>Transformational Leadership</v>
      </c>
      <c r="E16" s="147" t="str">
        <f>IFERROR(__xludf.DUMMYFUNCTION("""COMPUTED_VALUE"""),"Senior Manager")</f>
        <v>Senior Manager</v>
      </c>
      <c r="F16" s="141" t="str">
        <f>IFERROR(__xludf.DUMMYFUNCTION("""COMPUTED_VALUE"""),"Beginner + Intermediate")</f>
        <v>Beginner + Intermediate</v>
      </c>
      <c r="G16" s="143">
        <f>IFERROR(__xludf.DUMMYFUNCTION("""COMPUTED_VALUE"""),0.04711805555555556)</f>
        <v>0.04711805556</v>
      </c>
      <c r="H16" s="149" t="str">
        <f>IFERROR(__xludf.DUMMYFUNCTION("""COMPUTED_VALUE"""),"Master In-Demand Skills for Technology Leadership")</f>
        <v>Master In-Demand Skills for Technology Leadership</v>
      </c>
      <c r="I16" s="140"/>
      <c r="J16" s="140"/>
      <c r="K16" s="140"/>
      <c r="L16" s="140"/>
      <c r="M16" s="140"/>
    </row>
    <row r="17" ht="33.75" customHeight="1">
      <c r="A17" s="140"/>
      <c r="B17" s="140"/>
      <c r="C17" s="147">
        <f>IFERROR(__xludf.DUMMYFUNCTION("""COMPUTED_VALUE"""),5010646.0)</f>
        <v>5010646</v>
      </c>
      <c r="D17" s="148" t="str">
        <f>IFERROR(__xludf.DUMMYFUNCTION("""COMPUTED_VALUE"""),"Building Resilience as a Leader")</f>
        <v>Building Resilience as a Leader</v>
      </c>
      <c r="E17" s="147" t="str">
        <f>IFERROR(__xludf.DUMMYFUNCTION("""COMPUTED_VALUE"""),"Senior Manager")</f>
        <v>Senior Manager</v>
      </c>
      <c r="F17" s="141" t="str">
        <f>IFERROR(__xludf.DUMMYFUNCTION("""COMPUTED_VALUE"""),"Intermediate")</f>
        <v>Intermediate</v>
      </c>
      <c r="G17" s="143">
        <f>IFERROR(__xludf.DUMMYFUNCTION("""COMPUTED_VALUE"""),0.02980324074074074)</f>
        <v>0.02980324074</v>
      </c>
      <c r="H17" s="149" t="str">
        <f>IFERROR(__xludf.DUMMYFUNCTION("""COMPUTED_VALUE"""),"Women in Leadership")</f>
        <v>Women in Leadership</v>
      </c>
      <c r="I17" s="140"/>
      <c r="J17" s="140"/>
      <c r="K17" s="140"/>
      <c r="L17" s="140"/>
      <c r="M17" s="140"/>
    </row>
    <row r="18" ht="33.75" customHeight="1">
      <c r="A18" s="140"/>
      <c r="B18" s="140"/>
      <c r="C18" s="147">
        <f>IFERROR(__xludf.DUMMYFUNCTION("""COMPUTED_VALUE"""),706913.0)</f>
        <v>706913</v>
      </c>
      <c r="D18" s="148" t="str">
        <f>IFERROR(__xludf.DUMMYFUNCTION("""COMPUTED_VALUE"""),"Working with an Executive Coach")</f>
        <v>Working with an Executive Coach</v>
      </c>
      <c r="E18" s="147" t="str">
        <f>IFERROR(__xludf.DUMMYFUNCTION("""COMPUTED_VALUE"""),"Senior Manager")</f>
        <v>Senior Manager</v>
      </c>
      <c r="F18" s="141" t="str">
        <f>IFERROR(__xludf.DUMMYFUNCTION("""COMPUTED_VALUE"""),"Intermediate")</f>
        <v>Intermediate</v>
      </c>
      <c r="G18" s="143">
        <f>IFERROR(__xludf.DUMMYFUNCTION("""COMPUTED_VALUE"""),0.02648148148148148)</f>
        <v>0.02648148148</v>
      </c>
      <c r="H18" s="151"/>
      <c r="I18" s="140"/>
      <c r="J18" s="140"/>
      <c r="K18" s="140"/>
      <c r="L18" s="140"/>
      <c r="M18" s="140"/>
    </row>
    <row r="19" ht="33.75" customHeight="1">
      <c r="A19" s="140"/>
      <c r="B19" s="140"/>
      <c r="C19" s="147">
        <f>IFERROR(__xludf.DUMMYFUNCTION("""COMPUTED_VALUE"""),565364.0)</f>
        <v>565364</v>
      </c>
      <c r="D19" s="148" t="str">
        <f>IFERROR(__xludf.DUMMYFUNCTION("""COMPUTED_VALUE"""),"Managing New Managers")</f>
        <v>Managing New Managers</v>
      </c>
      <c r="E19" s="147" t="str">
        <f>IFERROR(__xludf.DUMMYFUNCTION("""COMPUTED_VALUE"""),"Senior Manager")</f>
        <v>Senior Manager</v>
      </c>
      <c r="F19" s="141" t="str">
        <f>IFERROR(__xludf.DUMMYFUNCTION("""COMPUTED_VALUE"""),"Intermediate")</f>
        <v>Intermediate</v>
      </c>
      <c r="G19" s="143">
        <f>IFERROR(__xludf.DUMMYFUNCTION("""COMPUTED_VALUE"""),0.01412037037037037)</f>
        <v>0.01412037037</v>
      </c>
      <c r="H19" s="151"/>
      <c r="I19" s="140"/>
      <c r="J19" s="140"/>
      <c r="K19" s="140"/>
      <c r="L19" s="140"/>
      <c r="M19" s="140"/>
    </row>
    <row r="20" ht="33.75" customHeight="1">
      <c r="A20" s="140"/>
      <c r="B20" s="140"/>
      <c r="C20" s="147">
        <f>IFERROR(__xludf.DUMMYFUNCTION("""COMPUTED_VALUE"""),2811020.0)</f>
        <v>2811020</v>
      </c>
      <c r="D20" s="148" t="str">
        <f>IFERROR(__xludf.DUMMYFUNCTION("""COMPUTED_VALUE"""),"Navigating Politics as a Senior Leader")</f>
        <v>Navigating Politics as a Senior Leader</v>
      </c>
      <c r="E20" s="147" t="str">
        <f>IFERROR(__xludf.DUMMYFUNCTION("""COMPUTED_VALUE"""),"Senior Manager")</f>
        <v>Senior Manager</v>
      </c>
      <c r="F20" s="141" t="str">
        <f>IFERROR(__xludf.DUMMYFUNCTION("""COMPUTED_VALUE"""),"Intermediate")</f>
        <v>Intermediate</v>
      </c>
      <c r="G20" s="143">
        <f>IFERROR(__xludf.DUMMYFUNCTION("""COMPUTED_VALUE"""),0.022094907407407407)</f>
        <v>0.02209490741</v>
      </c>
      <c r="H20" s="151"/>
      <c r="I20" s="140"/>
      <c r="J20" s="140"/>
      <c r="K20" s="140"/>
      <c r="L20" s="140"/>
      <c r="M20" s="140"/>
    </row>
    <row r="21" ht="33.75" customHeight="1">
      <c r="A21" s="140"/>
      <c r="B21" s="140"/>
      <c r="C21" s="147">
        <f>IFERROR(__xludf.DUMMYFUNCTION("""COMPUTED_VALUE"""),2252216.0)</f>
        <v>2252216</v>
      </c>
      <c r="D21" s="148" t="str">
        <f>IFERROR(__xludf.DUMMYFUNCTION("""COMPUTED_VALUE"""),"Leading from the Middle")</f>
        <v>Leading from the Middle</v>
      </c>
      <c r="E21" s="147" t="str">
        <f>IFERROR(__xludf.DUMMYFUNCTION("""COMPUTED_VALUE"""),"Senior Manager")</f>
        <v>Senior Manager</v>
      </c>
      <c r="F21" s="141" t="str">
        <f>IFERROR(__xludf.DUMMYFUNCTION("""COMPUTED_VALUE"""),"Intermediate")</f>
        <v>Intermediate</v>
      </c>
      <c r="G21" s="143">
        <f>IFERROR(__xludf.DUMMYFUNCTION("""COMPUTED_VALUE"""),0.03420138888888889)</f>
        <v>0.03420138889</v>
      </c>
      <c r="H21" s="151"/>
      <c r="I21" s="140"/>
      <c r="J21" s="140"/>
      <c r="K21" s="140"/>
      <c r="L21" s="140"/>
      <c r="M21" s="140"/>
    </row>
    <row r="22" ht="33.75" customHeight="1">
      <c r="A22" s="140"/>
      <c r="B22" s="140"/>
      <c r="C22" s="147">
        <f>IFERROR(__xludf.DUMMYFUNCTION("""COMPUTED_VALUE"""),5022326.0)</f>
        <v>5022326</v>
      </c>
      <c r="D22" s="148" t="str">
        <f>IFERROR(__xludf.DUMMYFUNCTION("""COMPUTED_VALUE"""),"Stories Every Leader Should Tell")</f>
        <v>Stories Every Leader Should Tell</v>
      </c>
      <c r="E22" s="147" t="str">
        <f>IFERROR(__xludf.DUMMYFUNCTION("""COMPUTED_VALUE"""),"Senior Manager")</f>
        <v>Senior Manager</v>
      </c>
      <c r="F22" s="141" t="str">
        <f>IFERROR(__xludf.DUMMYFUNCTION("""COMPUTED_VALUE"""),"Intermediate")</f>
        <v>Intermediate</v>
      </c>
      <c r="G22" s="143">
        <f>IFERROR(__xludf.DUMMYFUNCTION("""COMPUTED_VALUE"""),0.031747685185185184)</f>
        <v>0.03174768519</v>
      </c>
      <c r="H22" s="151"/>
      <c r="I22" s="140"/>
      <c r="J22" s="140"/>
      <c r="K22" s="140"/>
      <c r="L22" s="140"/>
      <c r="M22" s="140"/>
    </row>
    <row r="23" ht="33.75" customHeight="1">
      <c r="A23" s="140"/>
      <c r="B23" s="140"/>
      <c r="C23" s="147">
        <f>IFERROR(__xludf.DUMMYFUNCTION("""COMPUTED_VALUE"""),5015873.0)</f>
        <v>5015873</v>
      </c>
      <c r="D23" s="148" t="str">
        <f>IFERROR(__xludf.DUMMYFUNCTION("""COMPUTED_VALUE"""),"Start with Why: How Great Leaders Inspire Everyone to Take Action (Blinkist Summary)")</f>
        <v>Start with Why: How Great Leaders Inspire Everyone to Take Action (Blinkist Summary)</v>
      </c>
      <c r="E23" s="147" t="str">
        <f>IFERROR(__xludf.DUMMYFUNCTION("""COMPUTED_VALUE"""),"Senior Manager")</f>
        <v>Senior Manager</v>
      </c>
      <c r="F23" s="141" t="str">
        <f>IFERROR(__xludf.DUMMYFUNCTION("""COMPUTED_VALUE"""),"Intermediate")</f>
        <v>Intermediate</v>
      </c>
      <c r="G23" s="143">
        <f>IFERROR(__xludf.DUMMYFUNCTION("""COMPUTED_VALUE"""),0.0096875)</f>
        <v>0.0096875</v>
      </c>
      <c r="H23" s="151"/>
      <c r="I23" s="140"/>
      <c r="J23" s="140"/>
      <c r="K23" s="140"/>
      <c r="L23" s="140"/>
      <c r="M23" s="140"/>
    </row>
    <row r="24" ht="33.75" customHeight="1">
      <c r="A24" s="140"/>
      <c r="B24" s="140"/>
      <c r="C24" s="147">
        <f>IFERROR(__xludf.DUMMYFUNCTION("""COMPUTED_VALUE"""),2813183.0)</f>
        <v>2813183</v>
      </c>
      <c r="D24" s="148" t="str">
        <f>IFERROR(__xludf.DUMMYFUNCTION("""COMPUTED_VALUE"""),"Leading with Values")</f>
        <v>Leading with Values</v>
      </c>
      <c r="E24" s="147" t="str">
        <f>IFERROR(__xludf.DUMMYFUNCTION("""COMPUTED_VALUE"""),"Senior Manager")</f>
        <v>Senior Manager</v>
      </c>
      <c r="F24" s="141" t="str">
        <f>IFERROR(__xludf.DUMMYFUNCTION("""COMPUTED_VALUE"""),"Intermediate")</f>
        <v>Intermediate</v>
      </c>
      <c r="G24" s="143">
        <f>IFERROR(__xludf.DUMMYFUNCTION("""COMPUTED_VALUE"""),0.03140046296296296)</f>
        <v>0.03140046296</v>
      </c>
      <c r="H24" s="151"/>
      <c r="I24" s="140"/>
      <c r="J24" s="140"/>
      <c r="K24" s="140"/>
      <c r="L24" s="140"/>
      <c r="M24" s="140"/>
    </row>
    <row r="25" ht="33.75" customHeight="1">
      <c r="A25" s="140"/>
      <c r="B25" s="140"/>
      <c r="C25" s="147">
        <f>IFERROR(__xludf.DUMMYFUNCTION("""COMPUTED_VALUE"""),2869096.0)</f>
        <v>2869096</v>
      </c>
      <c r="D25" s="148" t="str">
        <f>IFERROR(__xludf.DUMMYFUNCTION("""COMPUTED_VALUE"""),"Change Leadership")</f>
        <v>Change Leadership</v>
      </c>
      <c r="E25" s="147" t="str">
        <f>IFERROR(__xludf.DUMMYFUNCTION("""COMPUTED_VALUE"""),"Senior Manager")</f>
        <v>Senior Manager</v>
      </c>
      <c r="F25" s="141" t="str">
        <f>IFERROR(__xludf.DUMMYFUNCTION("""COMPUTED_VALUE"""),"Intermediate")</f>
        <v>Intermediate</v>
      </c>
      <c r="G25" s="143">
        <f>IFERROR(__xludf.DUMMYFUNCTION("""COMPUTED_VALUE"""),0.026006944444444444)</f>
        <v>0.02600694444</v>
      </c>
      <c r="H25" s="151"/>
      <c r="I25" s="140"/>
      <c r="J25" s="140"/>
      <c r="K25" s="140"/>
      <c r="L25" s="140"/>
      <c r="M25" s="140"/>
    </row>
    <row r="26" ht="33.75" customHeight="1">
      <c r="A26" s="140"/>
      <c r="B26" s="140"/>
      <c r="C26" s="147">
        <f>IFERROR(__xludf.DUMMYFUNCTION("""COMPUTED_VALUE"""),5022331.0)</f>
        <v>5022331</v>
      </c>
      <c r="D26" s="148" t="str">
        <f>IFERROR(__xludf.DUMMYFUNCTION("""COMPUTED_VALUE"""),"Collaborative Leadership")</f>
        <v>Collaborative Leadership</v>
      </c>
      <c r="E26" s="147" t="str">
        <f>IFERROR(__xludf.DUMMYFUNCTION("""COMPUTED_VALUE"""),"Senior Manager")</f>
        <v>Senior Manager</v>
      </c>
      <c r="F26" s="141" t="str">
        <f>IFERROR(__xludf.DUMMYFUNCTION("""COMPUTED_VALUE"""),"Intermediate")</f>
        <v>Intermediate</v>
      </c>
      <c r="G26" s="143">
        <f>IFERROR(__xludf.DUMMYFUNCTION("""COMPUTED_VALUE"""),0.025925925925925925)</f>
        <v>0.02592592593</v>
      </c>
      <c r="H26" s="151"/>
      <c r="I26" s="140"/>
      <c r="J26" s="140"/>
      <c r="K26" s="140"/>
      <c r="L26" s="140"/>
      <c r="M26" s="140"/>
    </row>
    <row r="27" ht="33.75" customHeight="1">
      <c r="A27" s="140"/>
      <c r="B27" s="140"/>
      <c r="C27" s="147">
        <f>IFERROR(__xludf.DUMMYFUNCTION("""COMPUTED_VALUE"""),167027.0)</f>
        <v>167027</v>
      </c>
      <c r="D27" s="148" t="str">
        <f>IFERROR(__xludf.DUMMYFUNCTION("""COMPUTED_VALUE"""),"Executive Leadership")</f>
        <v>Executive Leadership</v>
      </c>
      <c r="E27" s="147" t="str">
        <f>IFERROR(__xludf.DUMMYFUNCTION("""COMPUTED_VALUE"""),"Senior Manager")</f>
        <v>Senior Manager</v>
      </c>
      <c r="F27" s="141" t="str">
        <f>IFERROR(__xludf.DUMMYFUNCTION("""COMPUTED_VALUE"""),"Intermediate")</f>
        <v>Intermediate</v>
      </c>
      <c r="G27" s="143">
        <f>IFERROR(__xludf.DUMMYFUNCTION("""COMPUTED_VALUE"""),0.055)</f>
        <v>0.055</v>
      </c>
      <c r="H27" s="151"/>
      <c r="I27" s="140"/>
      <c r="J27" s="140"/>
      <c r="K27" s="140"/>
      <c r="L27" s="140"/>
      <c r="M27" s="140"/>
    </row>
    <row r="28" ht="33.75" customHeight="1">
      <c r="A28" s="140"/>
      <c r="B28" s="140"/>
      <c r="C28" s="147">
        <f>IFERROR(__xludf.DUMMYFUNCTION("""COMPUTED_VALUE"""),2806197.0)</f>
        <v>2806197</v>
      </c>
      <c r="D28" s="148" t="str">
        <f>IFERROR(__xludf.DUMMYFUNCTION("""COMPUTED_VALUE"""),"Human-Centered Leadership")</f>
        <v>Human-Centered Leadership</v>
      </c>
      <c r="E28" s="147" t="str">
        <f>IFERROR(__xludf.DUMMYFUNCTION("""COMPUTED_VALUE"""),"Senior Manager")</f>
        <v>Senior Manager</v>
      </c>
      <c r="F28" s="141" t="str">
        <f>IFERROR(__xludf.DUMMYFUNCTION("""COMPUTED_VALUE"""),"Intermediate")</f>
        <v>Intermediate</v>
      </c>
      <c r="G28" s="143">
        <f>IFERROR(__xludf.DUMMYFUNCTION("""COMPUTED_VALUE"""),0.01902777777777778)</f>
        <v>0.01902777778</v>
      </c>
      <c r="H28" s="151"/>
      <c r="I28" s="140"/>
      <c r="J28" s="140"/>
      <c r="K28" s="140"/>
      <c r="L28" s="140"/>
      <c r="M28" s="140"/>
    </row>
    <row r="29" ht="33.75" customHeight="1">
      <c r="A29" s="140"/>
      <c r="B29" s="140"/>
      <c r="C29" s="147">
        <f>IFERROR(__xludf.DUMMYFUNCTION("""COMPUTED_VALUE"""),756285.0)</f>
        <v>756285</v>
      </c>
      <c r="D29" s="148" t="str">
        <f>IFERROR(__xludf.DUMMYFUNCTION("""COMPUTED_VALUE"""),"Leading with Purpose")</f>
        <v>Leading with Purpose</v>
      </c>
      <c r="E29" s="147" t="str">
        <f>IFERROR(__xludf.DUMMYFUNCTION("""COMPUTED_VALUE"""),"Senior Manager")</f>
        <v>Senior Manager</v>
      </c>
      <c r="F29" s="141" t="str">
        <f>IFERROR(__xludf.DUMMYFUNCTION("""COMPUTED_VALUE"""),"Intermediate")</f>
        <v>Intermediate</v>
      </c>
      <c r="G29" s="143">
        <f>IFERROR(__xludf.DUMMYFUNCTION("""COMPUTED_VALUE"""),0.038125)</f>
        <v>0.038125</v>
      </c>
      <c r="H29" s="151"/>
      <c r="I29" s="140"/>
      <c r="J29" s="140"/>
      <c r="K29" s="140"/>
      <c r="L29" s="140"/>
      <c r="M29" s="140"/>
    </row>
    <row r="30" ht="33.75" customHeight="1">
      <c r="A30" s="140"/>
      <c r="B30" s="140"/>
      <c r="C30" s="147">
        <f>IFERROR(__xludf.DUMMYFUNCTION("""COMPUTED_VALUE"""),713374.0)</f>
        <v>713374</v>
      </c>
      <c r="D30" s="148" t="str">
        <f>IFERROR(__xludf.DUMMYFUNCTION("""COMPUTED_VALUE"""),"Balancing Multiple Roles as a Leader")</f>
        <v>Balancing Multiple Roles as a Leader</v>
      </c>
      <c r="E30" s="147" t="str">
        <f>IFERROR(__xludf.DUMMYFUNCTION("""COMPUTED_VALUE"""),"Senior Manager")</f>
        <v>Senior Manager</v>
      </c>
      <c r="F30" s="141" t="str">
        <f>IFERROR(__xludf.DUMMYFUNCTION("""COMPUTED_VALUE"""),"Intermediate")</f>
        <v>Intermediate</v>
      </c>
      <c r="G30" s="143">
        <f>IFERROR(__xludf.DUMMYFUNCTION("""COMPUTED_VALUE"""),0.025671296296296296)</f>
        <v>0.0256712963</v>
      </c>
      <c r="H30" s="151"/>
      <c r="I30" s="140"/>
      <c r="J30" s="140"/>
      <c r="K30" s="140"/>
      <c r="L30" s="140"/>
      <c r="M30" s="140"/>
    </row>
    <row r="31" ht="33.75" customHeight="1">
      <c r="A31" s="140"/>
      <c r="B31" s="140"/>
      <c r="C31" s="147">
        <f>IFERROR(__xludf.DUMMYFUNCTION("""COMPUTED_VALUE"""),2877076.0)</f>
        <v>2877076</v>
      </c>
      <c r="D31" s="148" t="str">
        <f>IFERROR(__xludf.DUMMYFUNCTION("""COMPUTED_VALUE"""),"Risk-Taking for Leaders")</f>
        <v>Risk-Taking for Leaders</v>
      </c>
      <c r="E31" s="147" t="str">
        <f>IFERROR(__xludf.DUMMYFUNCTION("""COMPUTED_VALUE"""),"Senior Manager")</f>
        <v>Senior Manager</v>
      </c>
      <c r="F31" s="141" t="str">
        <f>IFERROR(__xludf.DUMMYFUNCTION("""COMPUTED_VALUE"""),"Intermediate")</f>
        <v>Intermediate</v>
      </c>
      <c r="G31" s="143">
        <f>IFERROR(__xludf.DUMMYFUNCTION("""COMPUTED_VALUE"""),0.0259375)</f>
        <v>0.0259375</v>
      </c>
      <c r="H31" s="151"/>
      <c r="I31" s="140"/>
      <c r="J31" s="140"/>
      <c r="K31" s="140"/>
      <c r="L31" s="140"/>
      <c r="M31" s="140"/>
    </row>
    <row r="32" ht="33.75" customHeight="1">
      <c r="A32" s="140"/>
      <c r="B32" s="140"/>
      <c r="C32" s="147">
        <f>IFERROR(__xludf.DUMMYFUNCTION("""COMPUTED_VALUE"""),2450365.0)</f>
        <v>2450365</v>
      </c>
      <c r="D32" s="148" t="str">
        <f>IFERROR(__xludf.DUMMYFUNCTION("""COMPUTED_VALUE"""),"Leadership Upskilling in a Zoom Economy")</f>
        <v>Leadership Upskilling in a Zoom Economy</v>
      </c>
      <c r="E32" s="147" t="str">
        <f>IFERROR(__xludf.DUMMYFUNCTION("""COMPUTED_VALUE"""),"Senior Manager")</f>
        <v>Senior Manager</v>
      </c>
      <c r="F32" s="141" t="str">
        <f>IFERROR(__xludf.DUMMYFUNCTION("""COMPUTED_VALUE"""),"Intermediate")</f>
        <v>Intermediate</v>
      </c>
      <c r="G32" s="143">
        <f>IFERROR(__xludf.DUMMYFUNCTION("""COMPUTED_VALUE"""),0.018831018518518518)</f>
        <v>0.01883101852</v>
      </c>
      <c r="H32" s="151"/>
      <c r="I32" s="140"/>
      <c r="J32" s="140"/>
      <c r="K32" s="140"/>
      <c r="L32" s="140"/>
      <c r="M32" s="140"/>
    </row>
    <row r="33" ht="33.75" customHeight="1">
      <c r="A33" s="140"/>
      <c r="B33" s="140"/>
      <c r="C33" s="147">
        <f>IFERROR(__xludf.DUMMYFUNCTION("""COMPUTED_VALUE"""),2253157.0)</f>
        <v>2253157</v>
      </c>
      <c r="D33" s="148" t="str">
        <f>IFERROR(__xludf.DUMMYFUNCTION("""COMPUTED_VALUE"""),"Leading Global Organisations")</f>
        <v>Leading Global Organisations</v>
      </c>
      <c r="E33" s="147" t="str">
        <f>IFERROR(__xludf.DUMMYFUNCTION("""COMPUTED_VALUE"""),"Senior Manager")</f>
        <v>Senior Manager</v>
      </c>
      <c r="F33" s="141" t="str">
        <f>IFERROR(__xludf.DUMMYFUNCTION("""COMPUTED_VALUE"""),"Advanced")</f>
        <v>Advanced</v>
      </c>
      <c r="G33" s="143">
        <f>IFERROR(__xludf.DUMMYFUNCTION("""COMPUTED_VALUE"""),0.02696759259259259)</f>
        <v>0.02696759259</v>
      </c>
      <c r="H33" s="151"/>
      <c r="I33" s="140"/>
      <c r="J33" s="140"/>
      <c r="K33" s="140"/>
      <c r="L33" s="140"/>
      <c r="M33" s="140"/>
    </row>
    <row r="34" ht="33.75" customHeight="1">
      <c r="A34" s="140"/>
      <c r="B34" s="140"/>
      <c r="C34" s="147">
        <f>IFERROR(__xludf.DUMMYFUNCTION("""COMPUTED_VALUE"""),647653.0)</f>
        <v>647653</v>
      </c>
      <c r="D34" s="148" t="str">
        <f>IFERROR(__xludf.DUMMYFUNCTION("""COMPUTED_VALUE"""),"Creating a Culture of Service")</f>
        <v>Creating a Culture of Service</v>
      </c>
      <c r="E34" s="147" t="str">
        <f>IFERROR(__xludf.DUMMYFUNCTION("""COMPUTED_VALUE"""),"Senior Manager")</f>
        <v>Senior Manager</v>
      </c>
      <c r="F34" s="141" t="str">
        <f>IFERROR(__xludf.DUMMYFUNCTION("""COMPUTED_VALUE"""),"Advanced")</f>
        <v>Advanced</v>
      </c>
      <c r="G34" s="143">
        <f>IFERROR(__xludf.DUMMYFUNCTION("""COMPUTED_VALUE"""),0.03446759259259259)</f>
        <v>0.03446759259</v>
      </c>
      <c r="H34" s="151"/>
      <c r="I34" s="140"/>
      <c r="J34" s="140"/>
      <c r="K34" s="140"/>
      <c r="L34" s="140"/>
      <c r="M34" s="140"/>
    </row>
    <row r="35" ht="33.75" customHeight="1">
      <c r="A35" s="140"/>
      <c r="B35" s="140"/>
      <c r="C35" s="147">
        <f>IFERROR(__xludf.DUMMYFUNCTION("""COMPUTED_VALUE"""),5028627.0)</f>
        <v>5028627</v>
      </c>
      <c r="D35" s="148" t="str">
        <f>IFERROR(__xludf.DUMMYFUNCTION("""COMPUTED_VALUE"""),"Organizational Thought Leadership")</f>
        <v>Organizational Thought Leadership</v>
      </c>
      <c r="E35" s="147" t="str">
        <f>IFERROR(__xludf.DUMMYFUNCTION("""COMPUTED_VALUE"""),"Senior Manager")</f>
        <v>Senior Manager</v>
      </c>
      <c r="F35" s="141" t="str">
        <f>IFERROR(__xludf.DUMMYFUNCTION("""COMPUTED_VALUE"""),"Advanced")</f>
        <v>Advanced</v>
      </c>
      <c r="G35" s="143">
        <f>IFERROR(__xludf.DUMMYFUNCTION("""COMPUTED_VALUE"""),0.061064814814814815)</f>
        <v>0.06106481481</v>
      </c>
      <c r="H35" s="151"/>
      <c r="I35" s="140"/>
      <c r="J35" s="140"/>
      <c r="K35" s="140"/>
      <c r="L35" s="140"/>
      <c r="M35" s="140"/>
    </row>
    <row r="36" ht="33.75" customHeight="1">
      <c r="A36" s="140"/>
      <c r="B36" s="140"/>
      <c r="C36" s="147">
        <f>IFERROR(__xludf.DUMMYFUNCTION("""COMPUTED_VALUE"""),685023.0)</f>
        <v>685023</v>
      </c>
      <c r="D36" s="148" t="str">
        <f>IFERROR(__xludf.DUMMYFUNCTION("""COMPUTED_VALUE"""),"Leading with Vision")</f>
        <v>Leading with Vision</v>
      </c>
      <c r="E36" s="147" t="str">
        <f>IFERROR(__xludf.DUMMYFUNCTION("""COMPUTED_VALUE"""),"Senior Manager")</f>
        <v>Senior Manager</v>
      </c>
      <c r="F36" s="141" t="str">
        <f>IFERROR(__xludf.DUMMYFUNCTION("""COMPUTED_VALUE"""),"Advanced")</f>
        <v>Advanced</v>
      </c>
      <c r="G36" s="143">
        <f>IFERROR(__xludf.DUMMYFUNCTION("""COMPUTED_VALUE"""),0.05386574074074074)</f>
        <v>0.05386574074</v>
      </c>
      <c r="H36" s="151"/>
      <c r="I36" s="140"/>
      <c r="J36" s="140"/>
      <c r="K36" s="140"/>
      <c r="L36" s="140"/>
      <c r="M36" s="140"/>
    </row>
    <row r="37" ht="33.75" customHeight="1">
      <c r="A37" s="140"/>
      <c r="B37" s="140"/>
      <c r="C37" s="147">
        <f>IFERROR(__xludf.DUMMYFUNCTION("""COMPUTED_VALUE"""),2833088.0)</f>
        <v>2833088</v>
      </c>
      <c r="D37" s="148" t="str">
        <f>IFERROR(__xludf.DUMMYFUNCTION("""COMPUTED_VALUE"""),"Using Emotions to Leverage and Accelerate Change: A Guide for Leaders")</f>
        <v>Using Emotions to Leverage and Accelerate Change: A Guide for Leaders</v>
      </c>
      <c r="E37" s="147" t="str">
        <f>IFERROR(__xludf.DUMMYFUNCTION("""COMPUTED_VALUE"""),"Senior Manager")</f>
        <v>Senior Manager</v>
      </c>
      <c r="F37" s="141" t="str">
        <f>IFERROR(__xludf.DUMMYFUNCTION("""COMPUTED_VALUE"""),"Advanced")</f>
        <v>Advanced</v>
      </c>
      <c r="G37" s="143">
        <f>IFERROR(__xludf.DUMMYFUNCTION("""COMPUTED_VALUE"""),0.02144675925925926)</f>
        <v>0.02144675926</v>
      </c>
      <c r="H37" s="151"/>
      <c r="I37" s="140"/>
      <c r="J37" s="140"/>
      <c r="K37" s="140"/>
      <c r="L37" s="140"/>
      <c r="M37" s="140"/>
    </row>
    <row r="38" ht="33.75" customHeight="1">
      <c r="A38" s="140"/>
      <c r="B38" s="140"/>
      <c r="C38" s="147">
        <f>IFERROR(__xludf.DUMMYFUNCTION("""COMPUTED_VALUE"""),2812491.0)</f>
        <v>2812491</v>
      </c>
      <c r="D38" s="148" t="str">
        <f>IFERROR(__xludf.DUMMYFUNCTION("""COMPUTED_VALUE"""),"Ideation for Leaders")</f>
        <v>Ideation for Leaders</v>
      </c>
      <c r="E38" s="147" t="str">
        <f>IFERROR(__xludf.DUMMYFUNCTION("""COMPUTED_VALUE"""),"Senior Manager")</f>
        <v>Senior Manager</v>
      </c>
      <c r="F38" s="141" t="str">
        <f>IFERROR(__xludf.DUMMYFUNCTION("""COMPUTED_VALUE"""),"Advanced")</f>
        <v>Advanced</v>
      </c>
      <c r="G38" s="143">
        <f>IFERROR(__xludf.DUMMYFUNCTION("""COMPUTED_VALUE"""),0.04090277777777778)</f>
        <v>0.04090277778</v>
      </c>
      <c r="H38" s="151"/>
      <c r="I38" s="140"/>
      <c r="J38" s="140"/>
      <c r="K38" s="140"/>
      <c r="L38" s="140"/>
      <c r="M38" s="140"/>
    </row>
    <row r="39" ht="33.75" customHeight="1">
      <c r="A39" s="140"/>
      <c r="B39" s="140"/>
      <c r="C39" s="147">
        <f>IFERROR(__xludf.DUMMYFUNCTION("""COMPUTED_VALUE"""),2881200.0)</f>
        <v>2881200</v>
      </c>
      <c r="D39" s="148" t="str">
        <f>IFERROR(__xludf.DUMMYFUNCTION("""COMPUTED_VALUE"""),"Coaching Yourself and Your Team from Uncertainty to Action")</f>
        <v>Coaching Yourself and Your Team from Uncertainty to Action</v>
      </c>
      <c r="E39" s="147" t="str">
        <f>IFERROR(__xludf.DUMMYFUNCTION("""COMPUTED_VALUE"""),"Senior Manager")</f>
        <v>Senior Manager</v>
      </c>
      <c r="F39" s="141" t="str">
        <f>IFERROR(__xludf.DUMMYFUNCTION("""COMPUTED_VALUE"""),"Advanced")</f>
        <v>Advanced</v>
      </c>
      <c r="G39" s="143">
        <f>IFERROR(__xludf.DUMMYFUNCTION("""COMPUTED_VALUE"""),0.02181712962962963)</f>
        <v>0.02181712963</v>
      </c>
      <c r="H39" s="151"/>
      <c r="I39" s="140"/>
      <c r="J39" s="140"/>
      <c r="K39" s="140"/>
      <c r="L39" s="140"/>
      <c r="M39" s="140"/>
    </row>
    <row r="40" ht="33.75" customHeight="1">
      <c r="A40" s="140"/>
      <c r="B40" s="140"/>
      <c r="C40" s="147">
        <f>IFERROR(__xludf.DUMMYFUNCTION("""COMPUTED_VALUE"""),3009232.0)</f>
        <v>3009232</v>
      </c>
      <c r="D40" s="148" t="str">
        <f>IFERROR(__xludf.DUMMYFUNCTION("""COMPUTED_VALUE"""),"Coaching Yourself through the Ambiguity of Leading")</f>
        <v>Coaching Yourself through the Ambiguity of Leading</v>
      </c>
      <c r="E40" s="147" t="str">
        <f>IFERROR(__xludf.DUMMYFUNCTION("""COMPUTED_VALUE"""),"Senior Manager")</f>
        <v>Senior Manager</v>
      </c>
      <c r="F40" s="141" t="str">
        <f>IFERROR(__xludf.DUMMYFUNCTION("""COMPUTED_VALUE"""),"Advanced")</f>
        <v>Advanced</v>
      </c>
      <c r="G40" s="143">
        <f>IFERROR(__xludf.DUMMYFUNCTION("""COMPUTED_VALUE"""),0.02396990740740741)</f>
        <v>0.02396990741</v>
      </c>
      <c r="H40" s="151"/>
      <c r="I40" s="140"/>
      <c r="J40" s="140"/>
      <c r="K40" s="140"/>
      <c r="L40" s="140"/>
      <c r="M40" s="140"/>
    </row>
    <row r="41" ht="33.75" customHeight="1">
      <c r="A41" s="140"/>
      <c r="B41" s="140"/>
      <c r="C41" s="147">
        <f>IFERROR(__xludf.DUMMYFUNCTION("""COMPUTED_VALUE"""),2300012.0)</f>
        <v>2300012</v>
      </c>
      <c r="D41" s="148" t="str">
        <f>IFERROR(__xludf.DUMMYFUNCTION("""COMPUTED_VALUE"""),"Navigating Environmental Sustainability: A Guide for Leaders")</f>
        <v>Navigating Environmental Sustainability: A Guide for Leaders</v>
      </c>
      <c r="E41" s="147" t="str">
        <f>IFERROR(__xludf.DUMMYFUNCTION("""COMPUTED_VALUE"""),"Senior Manager")</f>
        <v>Senior Manager</v>
      </c>
      <c r="F41" s="141" t="str">
        <f>IFERROR(__xludf.DUMMYFUNCTION("""COMPUTED_VALUE"""),"General")</f>
        <v>General</v>
      </c>
      <c r="G41" s="143">
        <f>IFERROR(__xludf.DUMMYFUNCTION("""COMPUTED_VALUE"""),0.011770833333333333)</f>
        <v>0.01177083333</v>
      </c>
      <c r="H41" s="151"/>
      <c r="I41" s="140"/>
      <c r="J41" s="140"/>
      <c r="K41" s="140"/>
      <c r="L41" s="140"/>
      <c r="M41" s="140"/>
    </row>
    <row r="42" ht="33.75" customHeight="1">
      <c r="A42" s="140"/>
      <c r="B42" s="140"/>
      <c r="C42" s="147">
        <f>IFERROR(__xludf.DUMMYFUNCTION("""COMPUTED_VALUE"""),2242035.0)</f>
        <v>2242035</v>
      </c>
      <c r="D42" s="148" t="str">
        <f>IFERROR(__xludf.DUMMYFUNCTION("""COMPUTED_VALUE"""),"Humble Leadership: The Power of Relationships, Openness, and Trust (getAbstract Summary)")</f>
        <v>Humble Leadership: The Power of Relationships, Openness, and Trust (getAbstract Summary)</v>
      </c>
      <c r="E42" s="147" t="str">
        <f>IFERROR(__xludf.DUMMYFUNCTION("""COMPUTED_VALUE"""),"Senior Manager")</f>
        <v>Senior Manager</v>
      </c>
      <c r="F42" s="141" t="str">
        <f>IFERROR(__xludf.DUMMYFUNCTION("""COMPUTED_VALUE"""),"General")</f>
        <v>General</v>
      </c>
      <c r="G42" s="143">
        <f>IFERROR(__xludf.DUMMYFUNCTION("""COMPUTED_VALUE"""),0.009224537037037036)</f>
        <v>0.009224537037</v>
      </c>
      <c r="H42" s="151"/>
      <c r="I42" s="140"/>
      <c r="J42" s="140"/>
      <c r="K42" s="140"/>
      <c r="L42" s="140"/>
      <c r="M42" s="140"/>
    </row>
    <row r="43" ht="33.75" customHeight="1">
      <c r="A43" s="140"/>
      <c r="B43" s="140"/>
      <c r="C43" s="147">
        <f>IFERROR(__xludf.DUMMYFUNCTION("""COMPUTED_VALUE"""),2813223.0)</f>
        <v>2813223</v>
      </c>
      <c r="D43" s="148" t="str">
        <f>IFERROR(__xludf.DUMMYFUNCTION("""COMPUTED_VALUE"""),"Leading like a Futurist")</f>
        <v>Leading like a Futurist</v>
      </c>
      <c r="E43" s="147" t="str">
        <f>IFERROR(__xludf.DUMMYFUNCTION("""COMPUTED_VALUE"""),"Senior Manager")</f>
        <v>Senior Manager</v>
      </c>
      <c r="F43" s="141" t="str">
        <f>IFERROR(__xludf.DUMMYFUNCTION("""COMPUTED_VALUE"""),"General")</f>
        <v>General</v>
      </c>
      <c r="G43" s="143">
        <f>IFERROR(__xludf.DUMMYFUNCTION("""COMPUTED_VALUE"""),0.05261574074074074)</f>
        <v>0.05261574074</v>
      </c>
      <c r="H43" s="151"/>
      <c r="I43" s="140"/>
      <c r="J43" s="140"/>
      <c r="K43" s="140"/>
      <c r="L43" s="140"/>
      <c r="M43" s="140"/>
    </row>
    <row r="44" ht="33.75" customHeight="1">
      <c r="A44" s="140"/>
      <c r="B44" s="140"/>
      <c r="C44" s="147">
        <f>IFERROR(__xludf.DUMMYFUNCTION("""COMPUTED_VALUE"""),696872.0)</f>
        <v>696872</v>
      </c>
      <c r="D44" s="148" t="str">
        <f>IFERROR(__xludf.DUMMYFUNCTION("""COMPUTED_VALUE"""),"Ken Blanchard on Servant Leadership")</f>
        <v>Ken Blanchard on Servant Leadership</v>
      </c>
      <c r="E44" s="147" t="str">
        <f>IFERROR(__xludf.DUMMYFUNCTION("""COMPUTED_VALUE"""),"Senior Manager")</f>
        <v>Senior Manager</v>
      </c>
      <c r="F44" s="141" t="str">
        <f>IFERROR(__xludf.DUMMYFUNCTION("""COMPUTED_VALUE"""),"General")</f>
        <v>General</v>
      </c>
      <c r="G44" s="143">
        <f>IFERROR(__xludf.DUMMYFUNCTION("""COMPUTED_VALUE"""),0.018935185185185187)</f>
        <v>0.01893518519</v>
      </c>
      <c r="H44" s="151"/>
      <c r="I44" s="140"/>
      <c r="J44" s="140"/>
      <c r="K44" s="140"/>
      <c r="L44" s="140"/>
      <c r="M44" s="140"/>
    </row>
    <row r="45" ht="33.75" customHeight="1">
      <c r="A45" s="140"/>
      <c r="B45" s="140"/>
      <c r="C45" s="147">
        <f>IFERROR(__xludf.DUMMYFUNCTION("""COMPUTED_VALUE"""),2367358.0)</f>
        <v>2367358</v>
      </c>
      <c r="D45" s="148" t="str">
        <f>IFERROR(__xludf.DUMMYFUNCTION("""COMPUTED_VALUE"""),"Productive Leadership")</f>
        <v>Productive Leadership</v>
      </c>
      <c r="E45" s="147" t="str">
        <f>IFERROR(__xludf.DUMMYFUNCTION("""COMPUTED_VALUE"""),"Manager")</f>
        <v>Manager</v>
      </c>
      <c r="F45" s="141" t="str">
        <f>IFERROR(__xludf.DUMMYFUNCTION("""COMPUTED_VALUE"""),"Beginner")</f>
        <v>Beginner</v>
      </c>
      <c r="G45" s="143">
        <f>IFERROR(__xludf.DUMMYFUNCTION("""COMPUTED_VALUE"""),0.017326388888888888)</f>
        <v>0.01732638889</v>
      </c>
      <c r="H45" s="151"/>
      <c r="I45" s="140"/>
      <c r="J45" s="140"/>
      <c r="K45" s="140"/>
      <c r="L45" s="140"/>
      <c r="M45" s="140"/>
    </row>
    <row r="46" ht="33.75" customHeight="1">
      <c r="A46" s="140"/>
      <c r="B46" s="140"/>
      <c r="C46" s="147">
        <f>IFERROR(__xludf.DUMMYFUNCTION("""COMPUTED_VALUE"""),2824175.0)</f>
        <v>2824175</v>
      </c>
      <c r="D46" s="148" t="str">
        <f>IFERROR(__xludf.DUMMYFUNCTION("""COMPUTED_VALUE"""),"Communicating In the Language of Leadership")</f>
        <v>Communicating In the Language of Leadership</v>
      </c>
      <c r="E46" s="147" t="str">
        <f>IFERROR(__xludf.DUMMYFUNCTION("""COMPUTED_VALUE"""),"Manager")</f>
        <v>Manager</v>
      </c>
      <c r="F46" s="141" t="str">
        <f>IFERROR(__xludf.DUMMYFUNCTION("""COMPUTED_VALUE"""),"Beginner")</f>
        <v>Beginner</v>
      </c>
      <c r="G46" s="143">
        <f>IFERROR(__xludf.DUMMYFUNCTION("""COMPUTED_VALUE"""),0.010648148148148148)</f>
        <v>0.01064814815</v>
      </c>
      <c r="H46" s="151"/>
      <c r="I46" s="140"/>
      <c r="J46" s="140"/>
      <c r="K46" s="140"/>
      <c r="L46" s="140"/>
      <c r="M46" s="140"/>
    </row>
    <row r="47" ht="33.75" customHeight="1">
      <c r="A47" s="140"/>
      <c r="B47" s="140"/>
      <c r="C47" s="147">
        <f>IFERROR(__xludf.DUMMYFUNCTION("""COMPUTED_VALUE"""),2825404.0)</f>
        <v>2825404</v>
      </c>
      <c r="D47" s="148" t="str">
        <f>IFERROR(__xludf.DUMMYFUNCTION("""COMPUTED_VALUE"""),"Leading with Fearless Mindfulness")</f>
        <v>Leading with Fearless Mindfulness</v>
      </c>
      <c r="E47" s="147" t="str">
        <f>IFERROR(__xludf.DUMMYFUNCTION("""COMPUTED_VALUE"""),"Manager")</f>
        <v>Manager</v>
      </c>
      <c r="F47" s="141" t="str">
        <f>IFERROR(__xludf.DUMMYFUNCTION("""COMPUTED_VALUE"""),"Beginner")</f>
        <v>Beginner</v>
      </c>
      <c r="G47" s="143">
        <f>IFERROR(__xludf.DUMMYFUNCTION("""COMPUTED_VALUE"""),0.036863425925925924)</f>
        <v>0.03686342593</v>
      </c>
      <c r="H47" s="151"/>
      <c r="I47" s="140"/>
      <c r="J47" s="140"/>
      <c r="K47" s="140"/>
      <c r="L47" s="140"/>
      <c r="M47" s="140"/>
    </row>
    <row r="48" ht="33.75" customHeight="1">
      <c r="A48" s="140"/>
      <c r="B48" s="140"/>
      <c r="C48" s="147">
        <f>IFERROR(__xludf.DUMMYFUNCTION("""COMPUTED_VALUE"""),651185.0)</f>
        <v>651185</v>
      </c>
      <c r="D48" s="148" t="str">
        <f>IFERROR(__xludf.DUMMYFUNCTION("""COMPUTED_VALUE"""),"Emerging Leader Foundations")</f>
        <v>Emerging Leader Foundations</v>
      </c>
      <c r="E48" s="147" t="str">
        <f>IFERROR(__xludf.DUMMYFUNCTION("""COMPUTED_VALUE"""),"Manager")</f>
        <v>Manager</v>
      </c>
      <c r="F48" s="141" t="str">
        <f>IFERROR(__xludf.DUMMYFUNCTION("""COMPUTED_VALUE"""),"Beginner")</f>
        <v>Beginner</v>
      </c>
      <c r="G48" s="143">
        <f>IFERROR(__xludf.DUMMYFUNCTION("""COMPUTED_VALUE"""),0.03525462962962963)</f>
        <v>0.03525462963</v>
      </c>
      <c r="H48" s="151"/>
      <c r="I48" s="140"/>
      <c r="J48" s="140"/>
      <c r="K48" s="140"/>
      <c r="L48" s="140"/>
      <c r="M48" s="140"/>
    </row>
    <row r="49" ht="33.75" customHeight="1">
      <c r="A49" s="140"/>
      <c r="B49" s="140"/>
      <c r="C49" s="147">
        <f>IFERROR(__xludf.DUMMYFUNCTION("""COMPUTED_VALUE"""),802830.0)</f>
        <v>802830</v>
      </c>
      <c r="D49" s="148" t="str">
        <f>IFERROR(__xludf.DUMMYFUNCTION("""COMPUTED_VALUE"""),"Leadership Foundations: Leadership Styles and Models")</f>
        <v>Leadership Foundations: Leadership Styles and Models</v>
      </c>
      <c r="E49" s="147" t="str">
        <f>IFERROR(__xludf.DUMMYFUNCTION("""COMPUTED_VALUE"""),"Manager")</f>
        <v>Manager</v>
      </c>
      <c r="F49" s="141" t="str">
        <f>IFERROR(__xludf.DUMMYFUNCTION("""COMPUTED_VALUE"""),"Beginner")</f>
        <v>Beginner</v>
      </c>
      <c r="G49" s="143">
        <f>IFERROR(__xludf.DUMMYFUNCTION("""COMPUTED_VALUE"""),0.03142361111111111)</f>
        <v>0.03142361111</v>
      </c>
      <c r="H49" s="151"/>
      <c r="I49" s="140"/>
      <c r="J49" s="140"/>
      <c r="K49" s="140"/>
      <c r="L49" s="140"/>
      <c r="M49" s="140"/>
    </row>
    <row r="50" ht="33.75" customHeight="1">
      <c r="A50" s="140"/>
      <c r="B50" s="140"/>
      <c r="C50" s="147">
        <f>IFERROR(__xludf.DUMMYFUNCTION("""COMPUTED_VALUE"""),721910.0)</f>
        <v>721910</v>
      </c>
      <c r="D50" s="148" t="str">
        <f>IFERROR(__xludf.DUMMYFUNCTION("""COMPUTED_VALUE"""),"Leadership: Practical Skills")</f>
        <v>Leadership: Practical Skills</v>
      </c>
      <c r="E50" s="147" t="str">
        <f>IFERROR(__xludf.DUMMYFUNCTION("""COMPUTED_VALUE"""),"Manager")</f>
        <v>Manager</v>
      </c>
      <c r="F50" s="141" t="str">
        <f>IFERROR(__xludf.DUMMYFUNCTION("""COMPUTED_VALUE"""),"Beginner")</f>
        <v>Beginner</v>
      </c>
      <c r="G50" s="143">
        <f>IFERROR(__xludf.DUMMYFUNCTION("""COMPUTED_VALUE"""),0.10472222222222222)</f>
        <v>0.1047222222</v>
      </c>
      <c r="H50" s="151"/>
      <c r="I50" s="140"/>
      <c r="J50" s="140"/>
      <c r="K50" s="140"/>
      <c r="L50" s="140"/>
      <c r="M50" s="140"/>
    </row>
    <row r="51" ht="33.75" customHeight="1">
      <c r="A51" s="140"/>
      <c r="B51" s="140"/>
      <c r="C51" s="147">
        <f>IFERROR(__xludf.DUMMYFUNCTION("""COMPUTED_VALUE"""),2813255.0)</f>
        <v>2813255</v>
      </c>
      <c r="D51" s="148" t="str">
        <f>IFERROR(__xludf.DUMMYFUNCTION("""COMPUTED_VALUE"""),"Leadership Foundations")</f>
        <v>Leadership Foundations</v>
      </c>
      <c r="E51" s="147" t="str">
        <f>IFERROR(__xludf.DUMMYFUNCTION("""COMPUTED_VALUE"""),"Manager")</f>
        <v>Manager</v>
      </c>
      <c r="F51" s="141" t="str">
        <f>IFERROR(__xludf.DUMMYFUNCTION("""COMPUTED_VALUE"""),"Beginner")</f>
        <v>Beginner</v>
      </c>
      <c r="G51" s="143">
        <f>IFERROR(__xludf.DUMMYFUNCTION("""COMPUTED_VALUE"""),0.028449074074074075)</f>
        <v>0.02844907407</v>
      </c>
      <c r="H51" s="151"/>
      <c r="I51" s="140"/>
      <c r="J51" s="140"/>
      <c r="K51" s="140"/>
      <c r="L51" s="140"/>
      <c r="M51" s="140"/>
    </row>
    <row r="52" ht="33.75" customHeight="1">
      <c r="A52" s="140"/>
      <c r="B52" s="140"/>
      <c r="C52" s="147">
        <f>IFERROR(__xludf.DUMMYFUNCTION("""COMPUTED_VALUE"""),2822456.0)</f>
        <v>2822456</v>
      </c>
      <c r="D52" s="148" t="str">
        <f>IFERROR(__xludf.DUMMYFUNCTION("""COMPUTED_VALUE"""),"Developing Assertive Leadership")</f>
        <v>Developing Assertive Leadership</v>
      </c>
      <c r="E52" s="147" t="str">
        <f>IFERROR(__xludf.DUMMYFUNCTION("""COMPUTED_VALUE"""),"Manager")</f>
        <v>Manager</v>
      </c>
      <c r="F52" s="141" t="str">
        <f>IFERROR(__xludf.DUMMYFUNCTION("""COMPUTED_VALUE"""),"Beginner")</f>
        <v>Beginner</v>
      </c>
      <c r="G52" s="143">
        <f>IFERROR(__xludf.DUMMYFUNCTION("""COMPUTED_VALUE"""),0.04642361111111111)</f>
        <v>0.04642361111</v>
      </c>
      <c r="H52" s="151"/>
      <c r="I52" s="140"/>
      <c r="J52" s="140"/>
      <c r="K52" s="140"/>
      <c r="L52" s="140"/>
      <c r="M52" s="140"/>
    </row>
    <row r="53" ht="33.75" customHeight="1">
      <c r="A53" s="140"/>
      <c r="B53" s="140"/>
      <c r="C53" s="147">
        <f>IFERROR(__xludf.DUMMYFUNCTION("""COMPUTED_VALUE"""),2877031.0)</f>
        <v>2877031</v>
      </c>
      <c r="D53" s="148" t="str">
        <f>IFERROR(__xludf.DUMMYFUNCTION("""COMPUTED_VALUE"""),"Key Mental Shifts for Servant Leadership")</f>
        <v>Key Mental Shifts for Servant Leadership</v>
      </c>
      <c r="E53" s="147" t="str">
        <f>IFERROR(__xludf.DUMMYFUNCTION("""COMPUTED_VALUE"""),"Manager")</f>
        <v>Manager</v>
      </c>
      <c r="F53" s="141" t="str">
        <f>IFERROR(__xludf.DUMMYFUNCTION("""COMPUTED_VALUE"""),"Beginner")</f>
        <v>Beginner</v>
      </c>
      <c r="G53" s="143">
        <f>IFERROR(__xludf.DUMMYFUNCTION("""COMPUTED_VALUE"""),0.018773148148148146)</f>
        <v>0.01877314815</v>
      </c>
      <c r="H53" s="151"/>
      <c r="I53" s="140"/>
      <c r="J53" s="140"/>
      <c r="K53" s="140"/>
      <c r="L53" s="140"/>
      <c r="M53" s="140"/>
    </row>
    <row r="54" ht="33.75" customHeight="1">
      <c r="A54" s="140"/>
      <c r="B54" s="140"/>
      <c r="C54" s="147">
        <f>IFERROR(__xludf.DUMMYFUNCTION("""COMPUTED_VALUE"""),2428602.0)</f>
        <v>2428602</v>
      </c>
      <c r="D54" s="148" t="str">
        <f>IFERROR(__xludf.DUMMYFUNCTION("""COMPUTED_VALUE"""),"10 Mistakes Leaders Should Avoid")</f>
        <v>10 Mistakes Leaders Should Avoid</v>
      </c>
      <c r="E54" s="147" t="str">
        <f>IFERROR(__xludf.DUMMYFUNCTION("""COMPUTED_VALUE"""),"Manager")</f>
        <v>Manager</v>
      </c>
      <c r="F54" s="141" t="str">
        <f>IFERROR(__xludf.DUMMYFUNCTION("""COMPUTED_VALUE"""),"Beginner")</f>
        <v>Beginner</v>
      </c>
      <c r="G54" s="143">
        <f>IFERROR(__xludf.DUMMYFUNCTION("""COMPUTED_VALUE"""),0.02684027777777778)</f>
        <v>0.02684027778</v>
      </c>
      <c r="H54" s="151"/>
      <c r="I54" s="140"/>
      <c r="J54" s="140"/>
      <c r="K54" s="140"/>
      <c r="L54" s="140"/>
      <c r="M54" s="140"/>
    </row>
    <row r="55" ht="33.75" customHeight="1">
      <c r="A55" s="140"/>
      <c r="B55" s="140"/>
      <c r="C55" s="147">
        <f>IFERROR(__xludf.DUMMYFUNCTION("""COMPUTED_VALUE"""),3009779.0)</f>
        <v>3009779</v>
      </c>
      <c r="D55" s="148" t="str">
        <f>IFERROR(__xludf.DUMMYFUNCTION("""COMPUTED_VALUE"""),"Making More Impact as a Middle Manager")</f>
        <v>Making More Impact as a Middle Manager</v>
      </c>
      <c r="E55" s="147" t="str">
        <f>IFERROR(__xludf.DUMMYFUNCTION("""COMPUTED_VALUE"""),"Manager")</f>
        <v>Manager</v>
      </c>
      <c r="F55" s="141" t="str">
        <f>IFERROR(__xludf.DUMMYFUNCTION("""COMPUTED_VALUE"""),"Beginner")</f>
        <v>Beginner</v>
      </c>
      <c r="G55" s="143">
        <f>IFERROR(__xludf.DUMMYFUNCTION("""COMPUTED_VALUE"""),0.018912037037037036)</f>
        <v>0.01891203704</v>
      </c>
      <c r="H55" s="151"/>
      <c r="I55" s="140"/>
      <c r="J55" s="140"/>
      <c r="K55" s="140"/>
      <c r="L55" s="140"/>
      <c r="M55" s="140"/>
    </row>
    <row r="56" ht="33.75" customHeight="1">
      <c r="A56" s="140"/>
      <c r="B56" s="140"/>
      <c r="C56" s="147">
        <f>IFERROR(__xludf.DUMMYFUNCTION("""COMPUTED_VALUE"""),2447219.0)</f>
        <v>2447219</v>
      </c>
      <c r="D56" s="148" t="str">
        <f>IFERROR(__xludf.DUMMYFUNCTION("""COMPUTED_VALUE"""),"How to Build Credibility as a Leader")</f>
        <v>How to Build Credibility as a Leader</v>
      </c>
      <c r="E56" s="147" t="str">
        <f>IFERROR(__xludf.DUMMYFUNCTION("""COMPUTED_VALUE"""),"Manager")</f>
        <v>Manager</v>
      </c>
      <c r="F56" s="141" t="str">
        <f>IFERROR(__xludf.DUMMYFUNCTION("""COMPUTED_VALUE"""),"Beginner")</f>
        <v>Beginner</v>
      </c>
      <c r="G56" s="143">
        <f>IFERROR(__xludf.DUMMYFUNCTION("""COMPUTED_VALUE"""),0.01125)</f>
        <v>0.01125</v>
      </c>
      <c r="H56" s="151"/>
      <c r="I56" s="140"/>
      <c r="J56" s="140"/>
      <c r="K56" s="140"/>
      <c r="L56" s="140"/>
      <c r="M56" s="140"/>
    </row>
    <row r="57" ht="33.75" customHeight="1">
      <c r="A57" s="140"/>
      <c r="B57" s="140"/>
      <c r="C57" s="147">
        <f>IFERROR(__xludf.DUMMYFUNCTION("""COMPUTED_VALUE"""),5034158.0)</f>
        <v>5034158</v>
      </c>
      <c r="D57" s="148" t="str">
        <f>IFERROR(__xludf.DUMMYFUNCTION("""COMPUTED_VALUE"""),"Developing Credibility as a Leader")</f>
        <v>Developing Credibility as a Leader</v>
      </c>
      <c r="E57" s="147" t="str">
        <f>IFERROR(__xludf.DUMMYFUNCTION("""COMPUTED_VALUE"""),"Manager")</f>
        <v>Manager</v>
      </c>
      <c r="F57" s="141" t="str">
        <f>IFERROR(__xludf.DUMMYFUNCTION("""COMPUTED_VALUE"""),"Beginner + Intermediate")</f>
        <v>Beginner + Intermediate</v>
      </c>
      <c r="G57" s="143">
        <f>IFERROR(__xludf.DUMMYFUNCTION("""COMPUTED_VALUE"""),0.02431712962962963)</f>
        <v>0.02431712963</v>
      </c>
      <c r="H57" s="151"/>
      <c r="I57" s="140"/>
      <c r="J57" s="140"/>
      <c r="K57" s="140"/>
      <c r="L57" s="140"/>
      <c r="M57" s="140"/>
    </row>
    <row r="58" ht="33.75" customHeight="1">
      <c r="A58" s="140"/>
      <c r="B58" s="140"/>
      <c r="C58" s="147">
        <f>IFERROR(__xludf.DUMMYFUNCTION("""COMPUTED_VALUE"""),756283.0)</f>
        <v>756283</v>
      </c>
      <c r="D58" s="148" t="str">
        <f>IFERROR(__xludf.DUMMYFUNCTION("""COMPUTED_VALUE"""),"Leading with Emotional Intelligence")</f>
        <v>Leading with Emotional Intelligence</v>
      </c>
      <c r="E58" s="147" t="str">
        <f>IFERROR(__xludf.DUMMYFUNCTION("""COMPUTED_VALUE"""),"Manager")</f>
        <v>Manager</v>
      </c>
      <c r="F58" s="141" t="str">
        <f>IFERROR(__xludf.DUMMYFUNCTION("""COMPUTED_VALUE"""),"Beginner + Intermediate")</f>
        <v>Beginner + Intermediate</v>
      </c>
      <c r="G58" s="143">
        <f>IFERROR(__xludf.DUMMYFUNCTION("""COMPUTED_VALUE"""),0.04310185185185185)</f>
        <v>0.04310185185</v>
      </c>
      <c r="H58" s="151"/>
      <c r="I58" s="140"/>
      <c r="J58" s="140"/>
      <c r="K58" s="140"/>
      <c r="L58" s="140"/>
      <c r="M58" s="140"/>
    </row>
    <row r="59" ht="33.75" customHeight="1">
      <c r="A59" s="140"/>
      <c r="B59" s="140"/>
      <c r="C59" s="147">
        <f>IFERROR(__xludf.DUMMYFUNCTION("""COMPUTED_VALUE"""),797724.0)</f>
        <v>797724</v>
      </c>
      <c r="D59" s="148" t="str">
        <f>IFERROR(__xludf.DUMMYFUNCTION("""COMPUTED_VALUE"""),"Leading at a Distance")</f>
        <v>Leading at a Distance</v>
      </c>
      <c r="E59" s="147" t="str">
        <f>IFERROR(__xludf.DUMMYFUNCTION("""COMPUTED_VALUE"""),"Manager")</f>
        <v>Manager</v>
      </c>
      <c r="F59" s="141" t="str">
        <f>IFERROR(__xludf.DUMMYFUNCTION("""COMPUTED_VALUE"""),"Beginner + Intermediate")</f>
        <v>Beginner + Intermediate</v>
      </c>
      <c r="G59" s="143">
        <f>IFERROR(__xludf.DUMMYFUNCTION("""COMPUTED_VALUE"""),0.025578703703703704)</f>
        <v>0.0255787037</v>
      </c>
      <c r="H59" s="151"/>
      <c r="I59" s="140"/>
      <c r="J59" s="140"/>
      <c r="K59" s="140"/>
      <c r="L59" s="140"/>
      <c r="M59" s="140"/>
    </row>
    <row r="60" ht="33.75" customHeight="1">
      <c r="A60" s="140"/>
      <c r="B60" s="140"/>
      <c r="C60" s="147">
        <f>IFERROR(__xludf.DUMMYFUNCTION("""COMPUTED_VALUE"""),769274.0)</f>
        <v>769274</v>
      </c>
      <c r="D60" s="148" t="str">
        <f>IFERROR(__xludf.DUMMYFUNCTION("""COMPUTED_VALUE"""),"Leading in Government")</f>
        <v>Leading in Government</v>
      </c>
      <c r="E60" s="147" t="str">
        <f>IFERROR(__xludf.DUMMYFUNCTION("""COMPUTED_VALUE"""),"Manager")</f>
        <v>Manager</v>
      </c>
      <c r="F60" s="141" t="str">
        <f>IFERROR(__xludf.DUMMYFUNCTION("""COMPUTED_VALUE"""),"Beginner + Intermediate")</f>
        <v>Beginner + Intermediate</v>
      </c>
      <c r="G60" s="143">
        <f>IFERROR(__xludf.DUMMYFUNCTION("""COMPUTED_VALUE"""),0.035034722222222224)</f>
        <v>0.03503472222</v>
      </c>
      <c r="H60" s="151"/>
      <c r="I60" s="140"/>
      <c r="J60" s="140"/>
      <c r="K60" s="140"/>
      <c r="L60" s="140"/>
      <c r="M60" s="140"/>
    </row>
    <row r="61" ht="33.75" customHeight="1">
      <c r="A61" s="140"/>
      <c r="B61" s="140"/>
      <c r="C61" s="147">
        <f>IFERROR(__xludf.DUMMYFUNCTION("""COMPUTED_VALUE"""),784280.0)</f>
        <v>784280</v>
      </c>
      <c r="D61" s="148" t="str">
        <f>IFERROR(__xludf.DUMMYFUNCTION("""COMPUTED_VALUE"""),"Leading Inclusive Teams")</f>
        <v>Leading Inclusive Teams</v>
      </c>
      <c r="E61" s="147" t="str">
        <f>IFERROR(__xludf.DUMMYFUNCTION("""COMPUTED_VALUE"""),"Manager")</f>
        <v>Manager</v>
      </c>
      <c r="F61" s="141" t="str">
        <f>IFERROR(__xludf.DUMMYFUNCTION("""COMPUTED_VALUE"""),"General")</f>
        <v>General</v>
      </c>
      <c r="G61" s="143">
        <f>IFERROR(__xludf.DUMMYFUNCTION("""COMPUTED_VALUE"""),0.04173611111111111)</f>
        <v>0.04173611111</v>
      </c>
      <c r="H61" s="151"/>
      <c r="I61" s="140"/>
      <c r="J61" s="140"/>
      <c r="K61" s="140"/>
      <c r="L61" s="140"/>
      <c r="M61" s="140"/>
    </row>
    <row r="62" ht="33.75" customHeight="1">
      <c r="A62" s="140"/>
      <c r="B62" s="140"/>
      <c r="C62" s="147">
        <f>IFERROR(__xludf.DUMMYFUNCTION("""COMPUTED_VALUE"""),2809355.0)</f>
        <v>2809355</v>
      </c>
      <c r="D62" s="148" t="str">
        <f>IFERROR(__xludf.DUMMYFUNCTION("""COMPUTED_VALUE"""),"Body Language for Leaders")</f>
        <v>Body Language for Leaders</v>
      </c>
      <c r="E62" s="147" t="str">
        <f>IFERROR(__xludf.DUMMYFUNCTION("""COMPUTED_VALUE"""),"Manager")</f>
        <v>Manager</v>
      </c>
      <c r="F62" s="141" t="str">
        <f>IFERROR(__xludf.DUMMYFUNCTION("""COMPUTED_VALUE"""),"General")</f>
        <v>General</v>
      </c>
      <c r="G62" s="143">
        <f>IFERROR(__xludf.DUMMYFUNCTION("""COMPUTED_VALUE"""),0.02738425925925926)</f>
        <v>0.02738425926</v>
      </c>
      <c r="H62" s="151"/>
      <c r="I62" s="140"/>
      <c r="J62" s="140"/>
      <c r="K62" s="140"/>
      <c r="L62" s="140"/>
      <c r="M62" s="140"/>
    </row>
    <row r="63" ht="33.75" customHeight="1">
      <c r="A63" s="140"/>
      <c r="B63" s="140"/>
      <c r="C63" s="147">
        <f>IFERROR(__xludf.DUMMYFUNCTION("""COMPUTED_VALUE"""),2877028.0)</f>
        <v>2877028</v>
      </c>
      <c r="D63" s="148" t="str">
        <f>IFERROR(__xludf.DUMMYFUNCTION("""COMPUTED_VALUE"""),"Becoming a Manager Your Team Loves")</f>
        <v>Becoming a Manager Your Team Loves</v>
      </c>
      <c r="E63" s="147" t="str">
        <f>IFERROR(__xludf.DUMMYFUNCTION("""COMPUTED_VALUE"""),"Manager")</f>
        <v>Manager</v>
      </c>
      <c r="F63" s="141" t="str">
        <f>IFERROR(__xludf.DUMMYFUNCTION("""COMPUTED_VALUE"""),"General")</f>
        <v>General</v>
      </c>
      <c r="G63" s="143">
        <f>IFERROR(__xludf.DUMMYFUNCTION("""COMPUTED_VALUE"""),0.052708333333333336)</f>
        <v>0.05270833333</v>
      </c>
      <c r="H63" s="151"/>
      <c r="I63" s="140"/>
      <c r="J63" s="140"/>
      <c r="K63" s="140"/>
      <c r="L63" s="140"/>
      <c r="M63" s="140"/>
    </row>
    <row r="64" ht="33.75" customHeight="1">
      <c r="A64" s="140"/>
      <c r="B64" s="140"/>
      <c r="C64" s="147">
        <f>IFERROR(__xludf.DUMMYFUNCTION("""COMPUTED_VALUE"""),2243045.0)</f>
        <v>2243045</v>
      </c>
      <c r="D64" s="148" t="str">
        <f>IFERROR(__xludf.DUMMYFUNCTION("""COMPUTED_VALUE"""),"The Art of Connection: 7 Relationship-Building Skills Every Leader Needs Now (getAbstract Summary)")</f>
        <v>The Art of Connection: 7 Relationship-Building Skills Every Leader Needs Now (getAbstract Summary)</v>
      </c>
      <c r="E64" s="147" t="str">
        <f>IFERROR(__xludf.DUMMYFUNCTION("""COMPUTED_VALUE"""),"Manager")</f>
        <v>Manager</v>
      </c>
      <c r="F64" s="141" t="str">
        <f>IFERROR(__xludf.DUMMYFUNCTION("""COMPUTED_VALUE"""),"General")</f>
        <v>General</v>
      </c>
      <c r="G64" s="143">
        <f>IFERROR(__xludf.DUMMYFUNCTION("""COMPUTED_VALUE"""),0.006006944444444444)</f>
        <v>0.006006944444</v>
      </c>
      <c r="H64" s="151"/>
      <c r="I64" s="140"/>
      <c r="J64" s="140"/>
      <c r="K64" s="140"/>
      <c r="L64" s="140"/>
      <c r="M64" s="140"/>
    </row>
    <row r="65" ht="33.75" customHeight="1">
      <c r="A65" s="140"/>
      <c r="B65" s="140"/>
      <c r="C65" s="147">
        <f>IFERROR(__xludf.DUMMYFUNCTION("""COMPUTED_VALUE"""),2242044.0)</f>
        <v>2242044</v>
      </c>
      <c r="D65" s="148" t="str">
        <f>IFERROR(__xludf.DUMMYFUNCTION("""COMPUTED_VALUE"""),"The Leader’s Guide to Mindfulness (getAbstract Summary)")</f>
        <v>The Leader’s Guide to Mindfulness (getAbstract Summary)</v>
      </c>
      <c r="E65" s="147" t="str">
        <f>IFERROR(__xludf.DUMMYFUNCTION("""COMPUTED_VALUE"""),"Manager")</f>
        <v>Manager</v>
      </c>
      <c r="F65" s="141" t="str">
        <f>IFERROR(__xludf.DUMMYFUNCTION("""COMPUTED_VALUE"""),"General")</f>
        <v>General</v>
      </c>
      <c r="G65" s="143">
        <f>IFERROR(__xludf.DUMMYFUNCTION("""COMPUTED_VALUE"""),0.009097222222222222)</f>
        <v>0.009097222222</v>
      </c>
      <c r="H65" s="151"/>
      <c r="I65" s="140"/>
      <c r="J65" s="140"/>
      <c r="K65" s="140"/>
      <c r="L65" s="140"/>
      <c r="M65" s="140"/>
    </row>
    <row r="66" ht="33.75" customHeight="1">
      <c r="A66" s="140"/>
      <c r="B66" s="140"/>
      <c r="C66" s="147">
        <f>IFERROR(__xludf.DUMMYFUNCTION("""COMPUTED_VALUE"""),2243043.0)</f>
        <v>2243043</v>
      </c>
      <c r="D66" s="148" t="str">
        <f>IFERROR(__xludf.DUMMYFUNCTION("""COMPUTED_VALUE"""),"The Secret: What Great Leaders Know and Do (getAbstract Summary)")</f>
        <v>The Secret: What Great Leaders Know and Do (getAbstract Summary)</v>
      </c>
      <c r="E66" s="147" t="str">
        <f>IFERROR(__xludf.DUMMYFUNCTION("""COMPUTED_VALUE"""),"Manager")</f>
        <v>Manager</v>
      </c>
      <c r="F66" s="141" t="str">
        <f>IFERROR(__xludf.DUMMYFUNCTION("""COMPUTED_VALUE"""),"General")</f>
        <v>General</v>
      </c>
      <c r="G66" s="143">
        <f>IFERROR(__xludf.DUMMYFUNCTION("""COMPUTED_VALUE"""),0.00525462962962963)</f>
        <v>0.00525462963</v>
      </c>
      <c r="H66" s="151"/>
      <c r="I66" s="140"/>
      <c r="J66" s="140"/>
      <c r="K66" s="140"/>
      <c r="L66" s="140"/>
      <c r="M66" s="140"/>
    </row>
    <row r="67" ht="33.75" customHeight="1">
      <c r="A67" s="140"/>
      <c r="B67" s="140"/>
      <c r="C67" s="147">
        <f>IFERROR(__xludf.DUMMYFUNCTION("""COMPUTED_VALUE"""),2834033.0)</f>
        <v>2834033</v>
      </c>
      <c r="D67" s="148" t="str">
        <f>IFERROR(__xludf.DUMMYFUNCTION("""COMPUTED_VALUE"""),"Jeff Weiner on Leading like a CEO")</f>
        <v>Jeff Weiner on Leading like a CEO</v>
      </c>
      <c r="E67" s="147" t="str">
        <f>IFERROR(__xludf.DUMMYFUNCTION("""COMPUTED_VALUE"""),"Manager")</f>
        <v>Manager</v>
      </c>
      <c r="F67" s="141" t="str">
        <f>IFERROR(__xludf.DUMMYFUNCTION("""COMPUTED_VALUE"""),"General")</f>
        <v>General</v>
      </c>
      <c r="G67" s="143">
        <f>IFERROR(__xludf.DUMMYFUNCTION("""COMPUTED_VALUE"""),0.1315162037037037)</f>
        <v>0.1315162037</v>
      </c>
      <c r="H67" s="151"/>
      <c r="I67" s="140"/>
      <c r="J67" s="140"/>
      <c r="K67" s="140"/>
      <c r="L67" s="140"/>
      <c r="M67" s="140"/>
    </row>
    <row r="68" ht="33.75" customHeight="1">
      <c r="A68" s="140"/>
      <c r="B68" s="140"/>
      <c r="C68" s="147">
        <f>IFERROR(__xludf.DUMMYFUNCTION("""COMPUTED_VALUE"""),2449204.0)</f>
        <v>2449204</v>
      </c>
      <c r="D68" s="148" t="str">
        <f>IFERROR(__xludf.DUMMYFUNCTION("""COMPUTED_VALUE"""),"Advice for Leaders during a Crisis")</f>
        <v>Advice for Leaders during a Crisis</v>
      </c>
      <c r="E68" s="147" t="str">
        <f>IFERROR(__xludf.DUMMYFUNCTION("""COMPUTED_VALUE"""),"Manager")</f>
        <v>Manager</v>
      </c>
      <c r="F68" s="141" t="str">
        <f>IFERROR(__xludf.DUMMYFUNCTION("""COMPUTED_VALUE"""),"General")</f>
        <v>General</v>
      </c>
      <c r="G68" s="143">
        <f>IFERROR(__xludf.DUMMYFUNCTION("""COMPUTED_VALUE"""),0.044895833333333336)</f>
        <v>0.04489583333</v>
      </c>
      <c r="H68" s="151"/>
      <c r="I68" s="140"/>
      <c r="J68" s="140"/>
      <c r="K68" s="140"/>
      <c r="L68" s="140"/>
      <c r="M68" s="140"/>
    </row>
    <row r="69" ht="33.75" customHeight="1">
      <c r="A69" s="140"/>
      <c r="B69" s="140"/>
      <c r="C69" s="147">
        <f>IFERROR(__xludf.DUMMYFUNCTION("""COMPUTED_VALUE"""),2450132.0)</f>
        <v>2450132</v>
      </c>
      <c r="D69" s="148" t="str">
        <f>IFERROR(__xludf.DUMMYFUNCTION("""COMPUTED_VALUE"""),"How Leaders Can Connect Empathy and Results")</f>
        <v>How Leaders Can Connect Empathy and Results</v>
      </c>
      <c r="E69" s="147" t="str">
        <f>IFERROR(__xludf.DUMMYFUNCTION("""COMPUTED_VALUE"""),"Manager")</f>
        <v>Manager</v>
      </c>
      <c r="F69" s="141" t="str">
        <f>IFERROR(__xludf.DUMMYFUNCTION("""COMPUTED_VALUE"""),"Intermediate")</f>
        <v>Intermediate</v>
      </c>
      <c r="G69" s="143">
        <f>IFERROR(__xludf.DUMMYFUNCTION("""COMPUTED_VALUE"""),0.01925925925925926)</f>
        <v>0.01925925926</v>
      </c>
      <c r="H69" s="151"/>
      <c r="I69" s="140"/>
      <c r="J69" s="140"/>
      <c r="K69" s="140"/>
      <c r="L69" s="140"/>
      <c r="M69" s="140"/>
    </row>
    <row r="70" ht="33.75" customHeight="1">
      <c r="A70" s="140"/>
      <c r="B70" s="140"/>
      <c r="C70" s="147">
        <f>IFERROR(__xludf.DUMMYFUNCTION("""COMPUTED_VALUE"""),5022323.0)</f>
        <v>5022323</v>
      </c>
      <c r="D70" s="148" t="str">
        <f>IFERROR(__xludf.DUMMYFUNCTION("""COMPUTED_VALUE"""),"Leading with Stories")</f>
        <v>Leading with Stories</v>
      </c>
      <c r="E70" s="147" t="str">
        <f>IFERROR(__xludf.DUMMYFUNCTION("""COMPUTED_VALUE"""),"Manager")</f>
        <v>Manager</v>
      </c>
      <c r="F70" s="141" t="str">
        <f>IFERROR(__xludf.DUMMYFUNCTION("""COMPUTED_VALUE"""),"Intermediate")</f>
        <v>Intermediate</v>
      </c>
      <c r="G70" s="143">
        <f>IFERROR(__xludf.DUMMYFUNCTION("""COMPUTED_VALUE"""),0.027060185185185184)</f>
        <v>0.02706018519</v>
      </c>
      <c r="H70" s="151"/>
      <c r="I70" s="140"/>
      <c r="J70" s="140"/>
      <c r="K70" s="140"/>
      <c r="L70" s="140"/>
      <c r="M70" s="140"/>
    </row>
    <row r="71" ht="33.75" customHeight="1">
      <c r="A71" s="140"/>
      <c r="B71" s="140"/>
      <c r="C71" s="147">
        <f>IFERROR(__xludf.DUMMYFUNCTION("""COMPUTED_VALUE"""),5015879.0)</f>
        <v>5015879</v>
      </c>
      <c r="D71" s="148" t="str">
        <f>IFERROR(__xludf.DUMMYFUNCTION("""COMPUTED_VALUE"""),"How to Be a Positive Leader (Blinkist Summary)")</f>
        <v>How to Be a Positive Leader (Blinkist Summary)</v>
      </c>
      <c r="E71" s="147" t="str">
        <f>IFERROR(__xludf.DUMMYFUNCTION("""COMPUTED_VALUE"""),"Manager")</f>
        <v>Manager</v>
      </c>
      <c r="F71" s="141" t="str">
        <f>IFERROR(__xludf.DUMMYFUNCTION("""COMPUTED_VALUE"""),"Intermediate")</f>
        <v>Intermediate</v>
      </c>
      <c r="G71" s="143">
        <f>IFERROR(__xludf.DUMMYFUNCTION("""COMPUTED_VALUE"""),0.014861111111111111)</f>
        <v>0.01486111111</v>
      </c>
      <c r="H71" s="151"/>
      <c r="I71" s="140"/>
      <c r="J71" s="140"/>
      <c r="K71" s="140"/>
      <c r="L71" s="140"/>
      <c r="M71" s="140"/>
    </row>
    <row r="72" ht="33.75" customHeight="1">
      <c r="A72" s="140"/>
      <c r="B72" s="140"/>
      <c r="C72" s="147">
        <f>IFERROR(__xludf.DUMMYFUNCTION("""COMPUTED_VALUE"""),5015881.0)</f>
        <v>5015881</v>
      </c>
      <c r="D72" s="148" t="str">
        <f>IFERROR(__xludf.DUMMYFUNCTION("""COMPUTED_VALUE"""),"Leaders Eat Last: Why Some Teams Pull Together and Others Don't (Blinkist Summary)")</f>
        <v>Leaders Eat Last: Why Some Teams Pull Together and Others Don't (Blinkist Summary)</v>
      </c>
      <c r="E72" s="147" t="str">
        <f>IFERROR(__xludf.DUMMYFUNCTION("""COMPUTED_VALUE"""),"Manager")</f>
        <v>Manager</v>
      </c>
      <c r="F72" s="141" t="str">
        <f>IFERROR(__xludf.DUMMYFUNCTION("""COMPUTED_VALUE"""),"Intermediate")</f>
        <v>Intermediate</v>
      </c>
      <c r="G72" s="143">
        <f>IFERROR(__xludf.DUMMYFUNCTION("""COMPUTED_VALUE"""),0.01326388888888889)</f>
        <v>0.01326388889</v>
      </c>
      <c r="H72" s="151"/>
      <c r="I72" s="140"/>
      <c r="J72" s="140"/>
      <c r="K72" s="140"/>
      <c r="L72" s="140"/>
      <c r="M72" s="140"/>
    </row>
    <row r="73" ht="33.75" customHeight="1">
      <c r="A73" s="140"/>
      <c r="B73" s="140"/>
      <c r="C73" s="147">
        <f>IFERROR(__xludf.DUMMYFUNCTION("""COMPUTED_VALUE"""),2802466.0)</f>
        <v>2802466</v>
      </c>
      <c r="D73" s="148" t="str">
        <f>IFERROR(__xludf.DUMMYFUNCTION("""COMPUTED_VALUE"""),"Be a Better Manager by Motivating Your Team")</f>
        <v>Be a Better Manager by Motivating Your Team</v>
      </c>
      <c r="E73" s="147" t="str">
        <f>IFERROR(__xludf.DUMMYFUNCTION("""COMPUTED_VALUE"""),"Manager")</f>
        <v>Manager</v>
      </c>
      <c r="F73" s="141" t="str">
        <f>IFERROR(__xludf.DUMMYFUNCTION("""COMPUTED_VALUE"""),"Intermediate")</f>
        <v>Intermediate</v>
      </c>
      <c r="G73" s="143">
        <f>IFERROR(__xludf.DUMMYFUNCTION("""COMPUTED_VALUE"""),0.016840277777777777)</f>
        <v>0.01684027778</v>
      </c>
      <c r="H73" s="151"/>
      <c r="I73" s="140"/>
      <c r="J73" s="140"/>
      <c r="K73" s="140"/>
      <c r="L73" s="140"/>
      <c r="M73" s="140"/>
    </row>
    <row r="74" ht="33.75" customHeight="1">
      <c r="A74" s="140"/>
      <c r="B74" s="140"/>
      <c r="C74" s="147">
        <f>IFERROR(__xludf.DUMMYFUNCTION("""COMPUTED_VALUE"""),5022327.0)</f>
        <v>5022327</v>
      </c>
      <c r="D74" s="148" t="str">
        <f>IFERROR(__xludf.DUMMYFUNCTION("""COMPUTED_VALUE"""),"Leading Your Team Through Change")</f>
        <v>Leading Your Team Through Change</v>
      </c>
      <c r="E74" s="147" t="str">
        <f>IFERROR(__xludf.DUMMYFUNCTION("""COMPUTED_VALUE"""),"Manager")</f>
        <v>Manager</v>
      </c>
      <c r="F74" s="141" t="str">
        <f>IFERROR(__xludf.DUMMYFUNCTION("""COMPUTED_VALUE"""),"Intermediate")</f>
        <v>Intermediate</v>
      </c>
      <c r="G74" s="143">
        <f>IFERROR(__xludf.DUMMYFUNCTION("""COMPUTED_VALUE"""),0.014861111111111111)</f>
        <v>0.01486111111</v>
      </c>
      <c r="H74" s="151"/>
      <c r="I74" s="140"/>
      <c r="J74" s="140"/>
      <c r="K74" s="140"/>
      <c r="L74" s="140"/>
      <c r="M74" s="140"/>
    </row>
    <row r="75">
      <c r="A75" s="140"/>
      <c r="B75" s="140"/>
      <c r="C75" s="147">
        <f>IFERROR(__xludf.DUMMYFUNCTION("""COMPUTED_VALUE"""),797723.0)</f>
        <v>797723</v>
      </c>
      <c r="D75" s="148" t="str">
        <f>IFERROR(__xludf.DUMMYFUNCTION("""COMPUTED_VALUE"""),"Executive Presence on Video Conference Calls")</f>
        <v>Executive Presence on Video Conference Calls</v>
      </c>
      <c r="E75" s="147" t="str">
        <f>IFERROR(__xludf.DUMMYFUNCTION("""COMPUTED_VALUE"""),"Manager")</f>
        <v>Manager</v>
      </c>
      <c r="F75" s="141" t="str">
        <f>IFERROR(__xludf.DUMMYFUNCTION("""COMPUTED_VALUE"""),"Intermediate")</f>
        <v>Intermediate</v>
      </c>
      <c r="G75" s="143">
        <f>IFERROR(__xludf.DUMMYFUNCTION("""COMPUTED_VALUE"""),0.02423611111111111)</f>
        <v>0.02423611111</v>
      </c>
      <c r="H75" s="151"/>
      <c r="I75" s="140"/>
      <c r="J75" s="140"/>
      <c r="K75" s="140"/>
      <c r="L75" s="140"/>
      <c r="M75" s="140"/>
    </row>
    <row r="76">
      <c r="A76" s="140"/>
      <c r="B76" s="140"/>
      <c r="C76" s="147">
        <f>IFERROR(__xludf.DUMMYFUNCTION("""COMPUTED_VALUE"""),656781.0)</f>
        <v>656781</v>
      </c>
      <c r="D76" s="148" t="str">
        <f>IFERROR(__xludf.DUMMYFUNCTION("""COMPUTED_VALUE"""),"Facilitation Skills for Managers and Leaders")</f>
        <v>Facilitation Skills for Managers and Leaders</v>
      </c>
      <c r="E76" s="147" t="str">
        <f>IFERROR(__xludf.DUMMYFUNCTION("""COMPUTED_VALUE"""),"Manager")</f>
        <v>Manager</v>
      </c>
      <c r="F76" s="141" t="str">
        <f>IFERROR(__xludf.DUMMYFUNCTION("""COMPUTED_VALUE"""),"Intermediate")</f>
        <v>Intermediate</v>
      </c>
      <c r="G76" s="143">
        <f>IFERROR(__xludf.DUMMYFUNCTION("""COMPUTED_VALUE"""),0.03)</f>
        <v>0.03</v>
      </c>
      <c r="H76" s="151"/>
      <c r="I76" s="140"/>
      <c r="J76" s="140"/>
      <c r="K76" s="140"/>
      <c r="L76" s="140"/>
      <c r="M76" s="140"/>
    </row>
    <row r="77">
      <c r="A77" s="140"/>
      <c r="B77" s="140"/>
      <c r="C77" s="147">
        <f>IFERROR(__xludf.DUMMYFUNCTION("""COMPUTED_VALUE"""),175129.0)</f>
        <v>175129</v>
      </c>
      <c r="D77" s="148" t="str">
        <f>IFERROR(__xludf.DUMMYFUNCTION("""COMPUTED_VALUE"""),"Leading and Working in Teams")</f>
        <v>Leading and Working in Teams</v>
      </c>
      <c r="E77" s="147" t="str">
        <f>IFERROR(__xludf.DUMMYFUNCTION("""COMPUTED_VALUE"""),"Manager")</f>
        <v>Manager</v>
      </c>
      <c r="F77" s="141" t="str">
        <f>IFERROR(__xludf.DUMMYFUNCTION("""COMPUTED_VALUE"""),"Intermediate")</f>
        <v>Intermediate</v>
      </c>
      <c r="G77" s="143">
        <f>IFERROR(__xludf.DUMMYFUNCTION("""COMPUTED_VALUE"""),0.017361111111111112)</f>
        <v>0.01736111111</v>
      </c>
      <c r="H77" s="151"/>
      <c r="I77" s="140"/>
      <c r="J77" s="140"/>
      <c r="K77" s="140"/>
      <c r="L77" s="140"/>
      <c r="M77" s="140"/>
    </row>
    <row r="78">
      <c r="A78" s="140"/>
      <c r="B78" s="140"/>
      <c r="C78" s="147">
        <f>IFERROR(__xludf.DUMMYFUNCTION("""COMPUTED_VALUE"""),174923.0)</f>
        <v>174923</v>
      </c>
      <c r="D78" s="148" t="str">
        <f>IFERROR(__xludf.DUMMYFUNCTION("""COMPUTED_VALUE"""),"Leading with Applied Improv")</f>
        <v>Leading with Applied Improv</v>
      </c>
      <c r="E78" s="147" t="str">
        <f>IFERROR(__xludf.DUMMYFUNCTION("""COMPUTED_VALUE"""),"Manager")</f>
        <v>Manager</v>
      </c>
      <c r="F78" s="141" t="str">
        <f>IFERROR(__xludf.DUMMYFUNCTION("""COMPUTED_VALUE"""),"Intermediate")</f>
        <v>Intermediate</v>
      </c>
      <c r="G78" s="143">
        <f>IFERROR(__xludf.DUMMYFUNCTION("""COMPUTED_VALUE"""),0.03179398148148148)</f>
        <v>0.03179398148</v>
      </c>
      <c r="H78" s="151"/>
      <c r="I78" s="140"/>
      <c r="J78" s="140"/>
      <c r="K78" s="140"/>
      <c r="L78" s="140"/>
      <c r="M78" s="140"/>
    </row>
    <row r="79">
      <c r="A79" s="140"/>
      <c r="B79" s="140"/>
      <c r="C79" s="147">
        <f>IFERROR(__xludf.DUMMYFUNCTION("""COMPUTED_VALUE"""),778180.0)</f>
        <v>778180</v>
      </c>
      <c r="D79" s="148" t="str">
        <f>IFERROR(__xludf.DUMMYFUNCTION("""COMPUTED_VALUE"""),"Leading with Intelligent Disobedience")</f>
        <v>Leading with Intelligent Disobedience</v>
      </c>
      <c r="E79" s="147" t="str">
        <f>IFERROR(__xludf.DUMMYFUNCTION("""COMPUTED_VALUE"""),"Manager")</f>
        <v>Manager</v>
      </c>
      <c r="F79" s="141" t="str">
        <f>IFERROR(__xludf.DUMMYFUNCTION("""COMPUTED_VALUE"""),"Intermediate")</f>
        <v>Intermediate</v>
      </c>
      <c r="G79" s="143">
        <f>IFERROR(__xludf.DUMMYFUNCTION("""COMPUTED_VALUE"""),0.023703703703703703)</f>
        <v>0.0237037037</v>
      </c>
      <c r="H79" s="151"/>
      <c r="I79" s="140"/>
      <c r="J79" s="140"/>
      <c r="K79" s="140"/>
      <c r="L79" s="140"/>
      <c r="M79" s="140"/>
    </row>
    <row r="80">
      <c r="A80" s="140"/>
      <c r="B80" s="140"/>
      <c r="C80" s="147">
        <f>IFERROR(__xludf.DUMMYFUNCTION("""COMPUTED_VALUE"""),808670.0)</f>
        <v>808670</v>
      </c>
      <c r="D80" s="148" t="str">
        <f>IFERROR(__xludf.DUMMYFUNCTION("""COMPUTED_VALUE"""),"Leading through Relationships")</f>
        <v>Leading through Relationships</v>
      </c>
      <c r="E80" s="147" t="str">
        <f>IFERROR(__xludf.DUMMYFUNCTION("""COMPUTED_VALUE"""),"Manager")</f>
        <v>Manager</v>
      </c>
      <c r="F80" s="141" t="str">
        <f>IFERROR(__xludf.DUMMYFUNCTION("""COMPUTED_VALUE"""),"Intermediate")</f>
        <v>Intermediate</v>
      </c>
      <c r="G80" s="143">
        <f>IFERROR(__xludf.DUMMYFUNCTION("""COMPUTED_VALUE"""),0.03384259259259259)</f>
        <v>0.03384259259</v>
      </c>
      <c r="H80" s="151"/>
      <c r="I80" s="140"/>
      <c r="J80" s="140"/>
      <c r="K80" s="140"/>
      <c r="L80" s="140"/>
      <c r="M80" s="140"/>
    </row>
    <row r="81">
      <c r="A81" s="154"/>
      <c r="B81" s="154"/>
      <c r="C81" s="147">
        <f>IFERROR(__xludf.DUMMYFUNCTION("""COMPUTED_VALUE"""),713373.0)</f>
        <v>713373</v>
      </c>
      <c r="D81" s="148" t="str">
        <f>IFERROR(__xludf.DUMMYFUNCTION("""COMPUTED_VALUE"""),"Coaching Skills for Leaders and Managers")</f>
        <v>Coaching Skills for Leaders and Managers</v>
      </c>
      <c r="E81" s="147" t="str">
        <f>IFERROR(__xludf.DUMMYFUNCTION("""COMPUTED_VALUE"""),"Manager")</f>
        <v>Manager</v>
      </c>
      <c r="F81" s="141" t="str">
        <f>IFERROR(__xludf.DUMMYFUNCTION("""COMPUTED_VALUE"""),"Intermediate")</f>
        <v>Intermediate</v>
      </c>
      <c r="G81" s="143">
        <f>IFERROR(__xludf.DUMMYFUNCTION("""COMPUTED_VALUE"""),0.023796296296296298)</f>
        <v>0.0237962963</v>
      </c>
      <c r="H81" s="151"/>
      <c r="I81" s="154"/>
      <c r="J81" s="154"/>
      <c r="K81" s="154"/>
      <c r="L81" s="154"/>
      <c r="M81" s="154"/>
    </row>
    <row r="82">
      <c r="A82" s="154"/>
      <c r="B82" s="154"/>
      <c r="C82" s="147">
        <f>IFERROR(__xludf.DUMMYFUNCTION("""COMPUTED_VALUE"""),672869.0)</f>
        <v>672869</v>
      </c>
      <c r="D82" s="148" t="str">
        <f>IFERROR(__xludf.DUMMYFUNCTION("""COMPUTED_VALUE"""),"Lead Like a Boss")</f>
        <v>Lead Like a Boss</v>
      </c>
      <c r="E82" s="147" t="str">
        <f>IFERROR(__xludf.DUMMYFUNCTION("""COMPUTED_VALUE"""),"Manager")</f>
        <v>Manager</v>
      </c>
      <c r="F82" s="141" t="str">
        <f>IFERROR(__xludf.DUMMYFUNCTION("""COMPUTED_VALUE"""),"Intermediate")</f>
        <v>Intermediate</v>
      </c>
      <c r="G82" s="143">
        <f>IFERROR(__xludf.DUMMYFUNCTION("""COMPUTED_VALUE"""),0.03189814814814815)</f>
        <v>0.03189814815</v>
      </c>
      <c r="H82" s="151"/>
      <c r="I82" s="154"/>
      <c r="J82" s="154"/>
      <c r="K82" s="154"/>
      <c r="L82" s="154"/>
      <c r="M82" s="154"/>
    </row>
    <row r="83">
      <c r="A83" s="154"/>
      <c r="B83" s="154"/>
      <c r="C83" s="147">
        <f>IFERROR(__xludf.DUMMYFUNCTION("""COMPUTED_VALUE"""),647651.0)</f>
        <v>647651</v>
      </c>
      <c r="D83" s="148" t="str">
        <f>IFERROR(__xludf.DUMMYFUNCTION("""COMPUTED_VALUE"""),"Leading Effectively")</f>
        <v>Leading Effectively</v>
      </c>
      <c r="E83" s="147" t="str">
        <f>IFERROR(__xludf.DUMMYFUNCTION("""COMPUTED_VALUE"""),"Manager")</f>
        <v>Manager</v>
      </c>
      <c r="F83" s="141" t="str">
        <f>IFERROR(__xludf.DUMMYFUNCTION("""COMPUTED_VALUE"""),"Intermediate")</f>
        <v>Intermediate</v>
      </c>
      <c r="G83" s="143">
        <f>IFERROR(__xludf.DUMMYFUNCTION("""COMPUTED_VALUE"""),0.030532407407407407)</f>
        <v>0.03053240741</v>
      </c>
      <c r="H83" s="151"/>
      <c r="I83" s="154"/>
      <c r="J83" s="154"/>
      <c r="K83" s="154"/>
      <c r="L83" s="154"/>
      <c r="M83" s="154"/>
    </row>
    <row r="84">
      <c r="A84" s="154"/>
      <c r="B84" s="154"/>
      <c r="C84" s="147">
        <f>IFERROR(__xludf.DUMMYFUNCTION("""COMPUTED_VALUE"""),2802024.0)</f>
        <v>2802024</v>
      </c>
      <c r="D84" s="148" t="str">
        <f>IFERROR(__xludf.DUMMYFUNCTION("""COMPUTED_VALUE"""),"Business Ethics for Managers and Leaders")</f>
        <v>Business Ethics for Managers and Leaders</v>
      </c>
      <c r="E84" s="147" t="str">
        <f>IFERROR(__xludf.DUMMYFUNCTION("""COMPUTED_VALUE"""),"Manager")</f>
        <v>Manager</v>
      </c>
      <c r="F84" s="141" t="str">
        <f>IFERROR(__xludf.DUMMYFUNCTION("""COMPUTED_VALUE"""),"Intermediate")</f>
        <v>Intermediate</v>
      </c>
      <c r="G84" s="143">
        <f>IFERROR(__xludf.DUMMYFUNCTION("""COMPUTED_VALUE"""),0.046168981481481484)</f>
        <v>0.04616898148</v>
      </c>
      <c r="H84" s="151"/>
      <c r="I84" s="154"/>
      <c r="J84" s="154"/>
      <c r="K84" s="154"/>
      <c r="L84" s="154"/>
      <c r="M84" s="154"/>
    </row>
    <row r="85">
      <c r="A85" s="154"/>
      <c r="B85" s="154"/>
      <c r="C85" s="147">
        <f>IFERROR(__xludf.DUMMYFUNCTION("""COMPUTED_VALUE"""),2812534.0)</f>
        <v>2812534</v>
      </c>
      <c r="D85" s="148" t="str">
        <f>IFERROR(__xludf.DUMMYFUNCTION("""COMPUTED_VALUE"""),"Lessons in Enlightened Leadership")</f>
        <v>Lessons in Enlightened Leadership</v>
      </c>
      <c r="E85" s="147" t="str">
        <f>IFERROR(__xludf.DUMMYFUNCTION("""COMPUTED_VALUE"""),"Manager")</f>
        <v>Manager</v>
      </c>
      <c r="F85" s="141" t="str">
        <f>IFERROR(__xludf.DUMMYFUNCTION("""COMPUTED_VALUE"""),"Intermediate")</f>
        <v>Intermediate</v>
      </c>
      <c r="G85" s="143">
        <f>IFERROR(__xludf.DUMMYFUNCTION("""COMPUTED_VALUE"""),0.039467592592592596)</f>
        <v>0.03946759259</v>
      </c>
      <c r="H85" s="151"/>
      <c r="I85" s="154"/>
      <c r="J85" s="154"/>
      <c r="K85" s="154"/>
      <c r="L85" s="154"/>
      <c r="M85" s="154"/>
    </row>
    <row r="86">
      <c r="A86" s="154"/>
      <c r="B86" s="154"/>
      <c r="C86" s="147">
        <f>IFERROR(__xludf.DUMMYFUNCTION("""COMPUTED_VALUE"""),2885092.0)</f>
        <v>2885092</v>
      </c>
      <c r="D86" s="148" t="str">
        <f>IFERROR(__xludf.DUMMYFUNCTION("""COMPUTED_VALUE"""),"Managing Skills for Remote Leaders")</f>
        <v>Managing Skills for Remote Leaders</v>
      </c>
      <c r="E86" s="147" t="str">
        <f>IFERROR(__xludf.DUMMYFUNCTION("""COMPUTED_VALUE"""),"Manager")</f>
        <v>Manager</v>
      </c>
      <c r="F86" s="141" t="str">
        <f>IFERROR(__xludf.DUMMYFUNCTION("""COMPUTED_VALUE"""),"Intermediate")</f>
        <v>Intermediate</v>
      </c>
      <c r="G86" s="143">
        <f>IFERROR(__xludf.DUMMYFUNCTION("""COMPUTED_VALUE"""),0.05008101851851852)</f>
        <v>0.05008101852</v>
      </c>
      <c r="H86" s="151"/>
      <c r="I86" s="154"/>
      <c r="J86" s="154"/>
      <c r="K86" s="154"/>
      <c r="L86" s="154"/>
      <c r="M86" s="154"/>
    </row>
    <row r="87">
      <c r="A87" s="154"/>
      <c r="B87" s="154"/>
      <c r="C87" s="147">
        <f>IFERROR(__xludf.DUMMYFUNCTION("""COMPUTED_VALUE"""),2882043.0)</f>
        <v>2882043</v>
      </c>
      <c r="D87" s="148" t="str">
        <f>IFERROR(__xludf.DUMMYFUNCTION("""COMPUTED_VALUE"""),"Leadership through Feedback")</f>
        <v>Leadership through Feedback</v>
      </c>
      <c r="E87" s="147" t="str">
        <f>IFERROR(__xludf.DUMMYFUNCTION("""COMPUTED_VALUE"""),"Manager")</f>
        <v>Manager</v>
      </c>
      <c r="F87" s="141" t="str">
        <f>IFERROR(__xludf.DUMMYFUNCTION("""COMPUTED_VALUE"""),"Intermediate")</f>
        <v>Intermediate</v>
      </c>
      <c r="G87" s="143">
        <f>IFERROR(__xludf.DUMMYFUNCTION("""COMPUTED_VALUE"""),0.05641203703703704)</f>
        <v>0.05641203704</v>
      </c>
      <c r="H87" s="151"/>
      <c r="I87" s="154"/>
      <c r="J87" s="154"/>
      <c r="K87" s="154"/>
      <c r="L87" s="154"/>
      <c r="M87" s="154"/>
    </row>
    <row r="88">
      <c r="A88" s="154"/>
      <c r="B88" s="154"/>
      <c r="C88" s="147">
        <f>IFERROR(__xludf.DUMMYFUNCTION("""COMPUTED_VALUE"""),5015876.0)</f>
        <v>5015876</v>
      </c>
      <c r="D88" s="148" t="str">
        <f>IFERROR(__xludf.DUMMYFUNCTION("""COMPUTED_VALUE"""),"Multipliers: How the Best Leaders Make Everyone Smarter (Blinkist Summary)")</f>
        <v>Multipliers: How the Best Leaders Make Everyone Smarter (Blinkist Summary)</v>
      </c>
      <c r="E88" s="147" t="str">
        <f>IFERROR(__xludf.DUMMYFUNCTION("""COMPUTED_VALUE"""),"Manager")</f>
        <v>Manager</v>
      </c>
      <c r="F88" s="141" t="str">
        <f>IFERROR(__xludf.DUMMYFUNCTION("""COMPUTED_VALUE"""),"Intermediate")</f>
        <v>Intermediate</v>
      </c>
      <c r="G88" s="143">
        <f>IFERROR(__xludf.DUMMYFUNCTION("""COMPUTED_VALUE"""),0.016319444444444445)</f>
        <v>0.01631944444</v>
      </c>
      <c r="H88" s="151"/>
      <c r="I88" s="154"/>
      <c r="J88" s="154"/>
      <c r="K88" s="154"/>
      <c r="L88" s="154"/>
      <c r="M88" s="154"/>
    </row>
    <row r="89">
      <c r="A89" s="154"/>
      <c r="B89" s="154"/>
      <c r="C89" s="147">
        <f>IFERROR(__xludf.DUMMYFUNCTION("""COMPUTED_VALUE"""),2822677.0)</f>
        <v>2822677</v>
      </c>
      <c r="D89" s="148" t="str">
        <f>IFERROR(__xludf.DUMMYFUNCTION("""COMPUTED_VALUE"""),"Leading and Motivating People with Different Personalities")</f>
        <v>Leading and Motivating People with Different Personalities</v>
      </c>
      <c r="E89" s="147" t="str">
        <f>IFERROR(__xludf.DUMMYFUNCTION("""COMPUTED_VALUE"""),"Manager")</f>
        <v>Manager</v>
      </c>
      <c r="F89" s="141" t="str">
        <f>IFERROR(__xludf.DUMMYFUNCTION("""COMPUTED_VALUE"""),"Intermediate")</f>
        <v>Intermediate</v>
      </c>
      <c r="G89" s="143">
        <f>IFERROR(__xludf.DUMMYFUNCTION("""COMPUTED_VALUE"""),0.027094907407407408)</f>
        <v>0.02709490741</v>
      </c>
      <c r="H89" s="151"/>
      <c r="I89" s="154"/>
      <c r="J89" s="154"/>
      <c r="K89" s="154"/>
      <c r="L89" s="154"/>
      <c r="M89" s="154"/>
    </row>
    <row r="90">
      <c r="A90" s="154"/>
      <c r="B90" s="154"/>
      <c r="C90" s="147">
        <f>IFERROR(__xludf.DUMMYFUNCTION("""COMPUTED_VALUE"""),2890082.0)</f>
        <v>2890082</v>
      </c>
      <c r="D90" s="150" t="str">
        <f>IFERROR(__xludf.DUMMYFUNCTION("""COMPUTED_VALUE"""),"Understanding the Leadership Behaviors That Can Sabotage Your Success")</f>
        <v>Understanding the Leadership Behaviors That Can Sabotage Your Success</v>
      </c>
      <c r="E90" s="147" t="str">
        <f>IFERROR(__xludf.DUMMYFUNCTION("""COMPUTED_VALUE"""),"Manager")</f>
        <v>Manager</v>
      </c>
      <c r="F90" s="141" t="str">
        <f>IFERROR(__xludf.DUMMYFUNCTION("""COMPUTED_VALUE"""),"Intermediate")</f>
        <v>Intermediate</v>
      </c>
      <c r="G90" s="143">
        <f>IFERROR(__xludf.DUMMYFUNCTION("""COMPUTED_VALUE"""),0.03273148148148148)</f>
        <v>0.03273148148</v>
      </c>
      <c r="H90" s="151"/>
      <c r="I90" s="154"/>
      <c r="J90" s="154"/>
      <c r="K90" s="154"/>
      <c r="L90" s="154"/>
      <c r="M90" s="154"/>
    </row>
    <row r="91">
      <c r="A91" s="154"/>
      <c r="B91" s="154"/>
      <c r="C91" s="147">
        <f>IFERROR(__xludf.DUMMYFUNCTION("""COMPUTED_VALUE"""),2893109.0)</f>
        <v>2893109</v>
      </c>
      <c r="D91" s="150" t="str">
        <f>IFERROR(__xludf.DUMMYFUNCTION("""COMPUTED_VALUE"""),"Leading with Empathy")</f>
        <v>Leading with Empathy</v>
      </c>
      <c r="E91" s="147" t="str">
        <f>IFERROR(__xludf.DUMMYFUNCTION("""COMPUTED_VALUE"""),"Manager")</f>
        <v>Manager</v>
      </c>
      <c r="F91" s="141" t="str">
        <f>IFERROR(__xludf.DUMMYFUNCTION("""COMPUTED_VALUE"""),"Intermediate")</f>
        <v>Intermediate</v>
      </c>
      <c r="G91" s="143">
        <f>IFERROR(__xludf.DUMMYFUNCTION("""COMPUTED_VALUE"""),0.02662037037037037)</f>
        <v>0.02662037037</v>
      </c>
      <c r="H91" s="151"/>
      <c r="I91" s="154"/>
      <c r="J91" s="154"/>
      <c r="K91" s="154"/>
      <c r="L91" s="154"/>
      <c r="M91" s="154"/>
    </row>
    <row r="92">
      <c r="A92" s="154"/>
      <c r="B92" s="154"/>
      <c r="C92" s="147">
        <f>IFERROR(__xludf.DUMMYFUNCTION("""COMPUTED_VALUE"""),2424407.0)</f>
        <v>2424407</v>
      </c>
      <c r="D92" s="150" t="str">
        <f>IFERROR(__xludf.DUMMYFUNCTION("""COMPUTED_VALUE"""),"Leadership Presence in Action")</f>
        <v>Leadership Presence in Action</v>
      </c>
      <c r="E92" s="147" t="str">
        <f>IFERROR(__xludf.DUMMYFUNCTION("""COMPUTED_VALUE"""),"Manager")</f>
        <v>Manager</v>
      </c>
      <c r="F92" s="141" t="str">
        <f>IFERROR(__xludf.DUMMYFUNCTION("""COMPUTED_VALUE"""),"Intermediate")</f>
        <v>Intermediate</v>
      </c>
      <c r="G92" s="143">
        <f>IFERROR(__xludf.DUMMYFUNCTION("""COMPUTED_VALUE"""),0.01990740740740741)</f>
        <v>0.01990740741</v>
      </c>
      <c r="H92" s="151"/>
      <c r="I92" s="154"/>
      <c r="J92" s="154"/>
      <c r="K92" s="154"/>
      <c r="L92" s="154"/>
      <c r="M92" s="154"/>
    </row>
    <row r="93">
      <c r="A93" s="154"/>
      <c r="B93" s="154"/>
      <c r="C93" s="147">
        <f>IFERROR(__xludf.DUMMYFUNCTION("""COMPUTED_VALUE"""),2874216.0)</f>
        <v>2874216</v>
      </c>
      <c r="D93" s="150" t="str">
        <f>IFERROR(__xludf.DUMMYFUNCTION("""COMPUTED_VALUE"""),"Mindful Leadership")</f>
        <v>Mindful Leadership</v>
      </c>
      <c r="E93" s="147" t="str">
        <f>IFERROR(__xludf.DUMMYFUNCTION("""COMPUTED_VALUE"""),"General")</f>
        <v>General</v>
      </c>
      <c r="F93" s="141" t="str">
        <f>IFERROR(__xludf.DUMMYFUNCTION("""COMPUTED_VALUE"""),"Beginner")</f>
        <v>Beginner</v>
      </c>
      <c r="G93" s="143">
        <f>IFERROR(__xludf.DUMMYFUNCTION("""COMPUTED_VALUE"""),0.02375)</f>
        <v>0.02375</v>
      </c>
      <c r="H93" s="151"/>
      <c r="I93" s="154"/>
      <c r="J93" s="154"/>
      <c r="K93" s="154"/>
      <c r="L93" s="154"/>
      <c r="M93" s="154"/>
    </row>
    <row r="94">
      <c r="A94" s="154"/>
      <c r="B94" s="154"/>
      <c r="C94" s="147">
        <f>IFERROR(__xludf.DUMMYFUNCTION("""COMPUTED_VALUE"""),2846053.0)</f>
        <v>2846053</v>
      </c>
      <c r="D94" s="150" t="str">
        <f>IFERROR(__xludf.DUMMYFUNCTION("""COMPUTED_VALUE"""),"Leading Remote Projects and Virtual Teams")</f>
        <v>Leading Remote Projects and Virtual Teams</v>
      </c>
      <c r="E94" s="147" t="str">
        <f>IFERROR(__xludf.DUMMYFUNCTION("""COMPUTED_VALUE"""),"General")</f>
        <v>General</v>
      </c>
      <c r="F94" s="141" t="str">
        <f>IFERROR(__xludf.DUMMYFUNCTION("""COMPUTED_VALUE"""),"Beginner")</f>
        <v>Beginner</v>
      </c>
      <c r="G94" s="143">
        <f>IFERROR(__xludf.DUMMYFUNCTION("""COMPUTED_VALUE"""),0.02045138888888889)</f>
        <v>0.02045138889</v>
      </c>
      <c r="H94" s="151"/>
      <c r="I94" s="154"/>
      <c r="J94" s="154"/>
      <c r="K94" s="154"/>
      <c r="L94" s="154"/>
      <c r="M94" s="154"/>
    </row>
    <row r="95">
      <c r="A95" s="154"/>
      <c r="B95" s="154"/>
      <c r="C95" s="147">
        <f>IFERROR(__xludf.DUMMYFUNCTION("""COMPUTED_VALUE"""),2877030.0)</f>
        <v>2877030</v>
      </c>
      <c r="D95" s="150" t="str">
        <f>IFERROR(__xludf.DUMMYFUNCTION("""COMPUTED_VALUE"""),"Becoming an Impactful and Influential Leader")</f>
        <v>Becoming an Impactful and Influential Leader</v>
      </c>
      <c r="E95" s="147" t="str">
        <f>IFERROR(__xludf.DUMMYFUNCTION("""COMPUTED_VALUE"""),"General")</f>
        <v>General</v>
      </c>
      <c r="F95" s="141" t="str">
        <f>IFERROR(__xludf.DUMMYFUNCTION("""COMPUTED_VALUE"""),"Beginner")</f>
        <v>Beginner</v>
      </c>
      <c r="G95" s="143">
        <f>IFERROR(__xludf.DUMMYFUNCTION("""COMPUTED_VALUE"""),0.014733796296296297)</f>
        <v>0.0147337963</v>
      </c>
      <c r="H95" s="151"/>
      <c r="I95" s="154"/>
      <c r="J95" s="154"/>
      <c r="K95" s="154"/>
      <c r="L95" s="154"/>
      <c r="M95" s="154"/>
    </row>
    <row r="96">
      <c r="A96" s="154"/>
      <c r="B96" s="154"/>
      <c r="C96" s="147">
        <f>IFERROR(__xludf.DUMMYFUNCTION("""COMPUTED_VALUE"""),2297061.0)</f>
        <v>2297061</v>
      </c>
      <c r="D96" s="150" t="str">
        <f>IFERROR(__xludf.DUMMYFUNCTION("""COMPUTED_VALUE"""),"Become a Courageous Female Leader")</f>
        <v>Become a Courageous Female Leader</v>
      </c>
      <c r="E96" s="147" t="str">
        <f>IFERROR(__xludf.DUMMYFUNCTION("""COMPUTED_VALUE"""),"General")</f>
        <v>General</v>
      </c>
      <c r="F96" s="141" t="str">
        <f>IFERROR(__xludf.DUMMYFUNCTION("""COMPUTED_VALUE"""),"Beginner")</f>
        <v>Beginner</v>
      </c>
      <c r="G96" s="143">
        <f>IFERROR(__xludf.DUMMYFUNCTION("""COMPUTED_VALUE"""),0.03467592592592592)</f>
        <v>0.03467592593</v>
      </c>
      <c r="H96" s="151"/>
      <c r="I96" s="154"/>
      <c r="J96" s="154"/>
      <c r="K96" s="154"/>
      <c r="L96" s="154"/>
      <c r="M96" s="154"/>
    </row>
    <row r="97">
      <c r="A97" s="154"/>
      <c r="B97" s="154"/>
      <c r="C97" s="147">
        <f>IFERROR(__xludf.DUMMYFUNCTION("""COMPUTED_VALUE"""),2974166.0)</f>
        <v>2974166</v>
      </c>
      <c r="D97" s="150" t="str">
        <f>IFERROR(__xludf.DUMMYFUNCTION("""COMPUTED_VALUE"""),"Leadership Tips, Tactics and Advice")</f>
        <v>Leadership Tips, Tactics and Advice</v>
      </c>
      <c r="E97" s="147" t="str">
        <f>IFERROR(__xludf.DUMMYFUNCTION("""COMPUTED_VALUE"""),"General")</f>
        <v>General</v>
      </c>
      <c r="F97" s="141" t="str">
        <f>IFERROR(__xludf.DUMMYFUNCTION("""COMPUTED_VALUE"""),"Beginner")</f>
        <v>Beginner</v>
      </c>
      <c r="G97" s="143">
        <f>IFERROR(__xludf.DUMMYFUNCTION("""COMPUTED_VALUE"""),0.03868055555555556)</f>
        <v>0.03868055556</v>
      </c>
      <c r="H97" s="151"/>
      <c r="I97" s="154"/>
      <c r="J97" s="154"/>
      <c r="K97" s="154"/>
      <c r="L97" s="154"/>
      <c r="M97" s="154"/>
    </row>
    <row r="98">
      <c r="A98" s="154"/>
      <c r="B98" s="154"/>
      <c r="C98" s="147">
        <f>IFERROR(__xludf.DUMMYFUNCTION("""COMPUTED_VALUE"""),2834000.0)</f>
        <v>2834000</v>
      </c>
      <c r="D98" s="150" t="str">
        <f>IFERROR(__xludf.DUMMYFUNCTION("""COMPUTED_VALUE"""),"Project Leadership")</f>
        <v>Project Leadership</v>
      </c>
      <c r="E98" s="147" t="str">
        <f>IFERROR(__xludf.DUMMYFUNCTION("""COMPUTED_VALUE"""),"General")</f>
        <v>General</v>
      </c>
      <c r="F98" s="141" t="str">
        <f>IFERROR(__xludf.DUMMYFUNCTION("""COMPUTED_VALUE"""),"Beginner")</f>
        <v>Beginner</v>
      </c>
      <c r="G98" s="143">
        <f>IFERROR(__xludf.DUMMYFUNCTION("""COMPUTED_VALUE"""),0.029988425925925925)</f>
        <v>0.02998842593</v>
      </c>
      <c r="H98" s="151"/>
      <c r="I98" s="154"/>
      <c r="J98" s="154"/>
      <c r="K98" s="154"/>
      <c r="L98" s="154"/>
      <c r="M98" s="154"/>
    </row>
    <row r="99">
      <c r="A99" s="154"/>
      <c r="B99" s="154"/>
      <c r="C99" s="147">
        <f>IFERROR(__xludf.DUMMYFUNCTION("""COMPUTED_VALUE"""),2974329.0)</f>
        <v>2974329</v>
      </c>
      <c r="D99" s="150" t="str">
        <f>IFERROR(__xludf.DUMMYFUNCTION("""COMPUTED_VALUE"""),"Inspirational Leadership Skills: Practical Motivational Leadership")</f>
        <v>Inspirational Leadership Skills: Practical Motivational Leadership</v>
      </c>
      <c r="E99" s="147" t="str">
        <f>IFERROR(__xludf.DUMMYFUNCTION("""COMPUTED_VALUE"""),"General")</f>
        <v>General</v>
      </c>
      <c r="F99" s="141" t="str">
        <f>IFERROR(__xludf.DUMMYFUNCTION("""COMPUTED_VALUE"""),"Beginner")</f>
        <v>Beginner</v>
      </c>
      <c r="G99" s="143">
        <f>IFERROR(__xludf.DUMMYFUNCTION("""COMPUTED_VALUE"""),0.12664351851851852)</f>
        <v>0.1266435185</v>
      </c>
      <c r="H99" s="151"/>
      <c r="I99" s="154"/>
      <c r="J99" s="154"/>
      <c r="K99" s="154"/>
      <c r="L99" s="154"/>
      <c r="M99" s="154"/>
    </row>
    <row r="100">
      <c r="A100" s="154"/>
      <c r="B100" s="154"/>
      <c r="C100" s="147">
        <f>IFERROR(__xludf.DUMMYFUNCTION("""COMPUTED_VALUE"""),2835068.0)</f>
        <v>2835068</v>
      </c>
      <c r="D100" s="150" t="str">
        <f>IFERROR(__xludf.DUMMYFUNCTION("""COMPUTED_VALUE"""),"Preparing to Lead: Developing Mental Toughness in Yourself")</f>
        <v>Preparing to Lead: Developing Mental Toughness in Yourself</v>
      </c>
      <c r="E100" s="147" t="str">
        <f>IFERROR(__xludf.DUMMYFUNCTION("""COMPUTED_VALUE"""),"General")</f>
        <v>General</v>
      </c>
      <c r="F100" s="141" t="str">
        <f>IFERROR(__xludf.DUMMYFUNCTION("""COMPUTED_VALUE"""),"Beginner + Intermediate")</f>
        <v>Beginner + Intermediate</v>
      </c>
      <c r="G100" s="143">
        <f>IFERROR(__xludf.DUMMYFUNCTION("""COMPUTED_VALUE"""),0.022569444444444444)</f>
        <v>0.02256944444</v>
      </c>
      <c r="H100" s="151"/>
      <c r="I100" s="154"/>
      <c r="J100" s="154"/>
      <c r="K100" s="154"/>
      <c r="L100" s="154"/>
      <c r="M100" s="154"/>
    </row>
    <row r="101">
      <c r="A101" s="154"/>
      <c r="B101" s="154"/>
      <c r="C101" s="147">
        <f>IFERROR(__xludf.DUMMYFUNCTION("""COMPUTED_VALUE"""),2822414.0)</f>
        <v>2822414</v>
      </c>
      <c r="D101" s="150" t="str">
        <f>IFERROR(__xludf.DUMMYFUNCTION("""COMPUTED_VALUE"""),"Just Ask: Todd Dewett on Management and Leadership")</f>
        <v>Just Ask: Todd Dewett on Management and Leadership</v>
      </c>
      <c r="E101" s="147" t="str">
        <f>IFERROR(__xludf.DUMMYFUNCTION("""COMPUTED_VALUE"""),"General")</f>
        <v>General</v>
      </c>
      <c r="F101" s="141" t="str">
        <f>IFERROR(__xludf.DUMMYFUNCTION("""COMPUTED_VALUE"""),"Beginner + Intermediate")</f>
        <v>Beginner + Intermediate</v>
      </c>
      <c r="G101" s="143">
        <f>IFERROR(__xludf.DUMMYFUNCTION("""COMPUTED_VALUE"""),0.052395833333333336)</f>
        <v>0.05239583333</v>
      </c>
      <c r="H101" s="151"/>
      <c r="I101" s="154"/>
      <c r="J101" s="154"/>
      <c r="K101" s="154"/>
      <c r="L101" s="154"/>
      <c r="M101" s="154"/>
    </row>
    <row r="102">
      <c r="A102" s="154"/>
      <c r="B102" s="154"/>
      <c r="C102" s="147">
        <f>IFERROR(__xludf.DUMMYFUNCTION("""COMPUTED_VALUE"""),2822683.0)</f>
        <v>2822683</v>
      </c>
      <c r="D102" s="150" t="str">
        <f>IFERROR(__xludf.DUMMYFUNCTION("""COMPUTED_VALUE"""),"Demonstrating Accountability as a Leader")</f>
        <v>Demonstrating Accountability as a Leader</v>
      </c>
      <c r="E102" s="147" t="str">
        <f>IFERROR(__xludf.DUMMYFUNCTION("""COMPUTED_VALUE"""),"General")</f>
        <v>General</v>
      </c>
      <c r="F102" s="141" t="str">
        <f>IFERROR(__xludf.DUMMYFUNCTION("""COMPUTED_VALUE"""),"Intermediate")</f>
        <v>Intermediate</v>
      </c>
      <c r="G102" s="143">
        <f>IFERROR(__xludf.DUMMYFUNCTION("""COMPUTED_VALUE"""),0.010833333333333334)</f>
        <v>0.01083333333</v>
      </c>
      <c r="H102" s="151"/>
      <c r="I102" s="154"/>
      <c r="J102" s="154"/>
      <c r="K102" s="154"/>
      <c r="L102" s="154"/>
      <c r="M102" s="154"/>
    </row>
    <row r="103">
      <c r="A103" s="154"/>
      <c r="B103" s="154"/>
      <c r="C103" s="147">
        <f>IFERROR(__xludf.DUMMYFUNCTION("""COMPUTED_VALUE"""),2814066.0)</f>
        <v>2814066</v>
      </c>
      <c r="D103" s="150" t="str">
        <f>IFERROR(__xludf.DUMMYFUNCTION("""COMPUTED_VALUE"""),"Leading with Kindness and Strength")</f>
        <v>Leading with Kindness and Strength</v>
      </c>
      <c r="E103" s="147" t="str">
        <f>IFERROR(__xludf.DUMMYFUNCTION("""COMPUTED_VALUE"""),"General")</f>
        <v>General</v>
      </c>
      <c r="F103" s="141" t="str">
        <f>IFERROR(__xludf.DUMMYFUNCTION("""COMPUTED_VALUE"""),"Intermediate")</f>
        <v>Intermediate</v>
      </c>
      <c r="G103" s="143">
        <f>IFERROR(__xludf.DUMMYFUNCTION("""COMPUTED_VALUE"""),0.02802083333333333)</f>
        <v>0.02802083333</v>
      </c>
      <c r="H103" s="151"/>
      <c r="I103" s="154"/>
      <c r="J103" s="154"/>
      <c r="K103" s="154"/>
      <c r="L103" s="154"/>
      <c r="M103" s="154"/>
    </row>
    <row r="104">
      <c r="A104" s="154"/>
      <c r="B104" s="154"/>
      <c r="C104" s="147">
        <f>IFERROR(__xludf.DUMMYFUNCTION("""COMPUTED_VALUE"""),2825490.0)</f>
        <v>2825490</v>
      </c>
      <c r="D104" s="150" t="str">
        <f>IFERROR(__xludf.DUMMYFUNCTION("""COMPUTED_VALUE"""),"Building Your Visibility as a Leader")</f>
        <v>Building Your Visibility as a Leader</v>
      </c>
      <c r="E104" s="147" t="str">
        <f>IFERROR(__xludf.DUMMYFUNCTION("""COMPUTED_VALUE"""),"General")</f>
        <v>General</v>
      </c>
      <c r="F104" s="141" t="str">
        <f>IFERROR(__xludf.DUMMYFUNCTION("""COMPUTED_VALUE"""),"Intermediate")</f>
        <v>Intermediate</v>
      </c>
      <c r="G104" s="143">
        <f>IFERROR(__xludf.DUMMYFUNCTION("""COMPUTED_VALUE"""),0.027372685185185184)</f>
        <v>0.02737268519</v>
      </c>
      <c r="H104" s="151"/>
      <c r="I104" s="154"/>
      <c r="J104" s="154"/>
      <c r="K104" s="154"/>
      <c r="L104" s="154"/>
      <c r="M104" s="154"/>
    </row>
    <row r="105">
      <c r="A105" s="154"/>
      <c r="B105" s="154"/>
      <c r="C105" s="147">
        <f>IFERROR(__xludf.DUMMYFUNCTION("""COMPUTED_VALUE"""),2822642.0)</f>
        <v>2822642</v>
      </c>
      <c r="D105" s="150" t="str">
        <f>IFERROR(__xludf.DUMMYFUNCTION("""COMPUTED_VALUE"""),"Leadership Mindsets")</f>
        <v>Leadership Mindsets</v>
      </c>
      <c r="E105" s="147" t="str">
        <f>IFERROR(__xludf.DUMMYFUNCTION("""COMPUTED_VALUE"""),"General")</f>
        <v>General</v>
      </c>
      <c r="F105" s="141" t="str">
        <f>IFERROR(__xludf.DUMMYFUNCTION("""COMPUTED_VALUE"""),"Intermediate")</f>
        <v>Intermediate</v>
      </c>
      <c r="G105" s="143">
        <f>IFERROR(__xludf.DUMMYFUNCTION("""COMPUTED_VALUE"""),0.024386574074074074)</f>
        <v>0.02438657407</v>
      </c>
      <c r="H105" s="151"/>
      <c r="I105" s="154"/>
      <c r="J105" s="154"/>
      <c r="K105" s="154"/>
      <c r="L105" s="154"/>
      <c r="M105" s="154"/>
    </row>
    <row r="106">
      <c r="A106" s="154"/>
      <c r="B106" s="154"/>
      <c r="C106" s="147">
        <f>IFERROR(__xludf.DUMMYFUNCTION("""COMPUTED_VALUE"""),2838146.0)</f>
        <v>2838146</v>
      </c>
      <c r="D106" s="150" t="str">
        <f>IFERROR(__xludf.DUMMYFUNCTION("""COMPUTED_VALUE"""),"Leading in Uncertain Times")</f>
        <v>Leading in Uncertain Times</v>
      </c>
      <c r="E106" s="147" t="str">
        <f>IFERROR(__xludf.DUMMYFUNCTION("""COMPUTED_VALUE"""),"General")</f>
        <v>General</v>
      </c>
      <c r="F106" s="141" t="str">
        <f>IFERROR(__xludf.DUMMYFUNCTION("""COMPUTED_VALUE"""),"Intermediate")</f>
        <v>Intermediate</v>
      </c>
      <c r="G106" s="143">
        <f>IFERROR(__xludf.DUMMYFUNCTION("""COMPUTED_VALUE"""),0.03200231481481482)</f>
        <v>0.03200231481</v>
      </c>
      <c r="H106" s="151"/>
      <c r="I106" s="154"/>
      <c r="J106" s="154"/>
      <c r="K106" s="154"/>
      <c r="L106" s="154"/>
      <c r="M106" s="154"/>
    </row>
    <row r="107">
      <c r="A107" s="154"/>
      <c r="B107" s="154"/>
      <c r="C107" s="147">
        <f>IFERROR(__xludf.DUMMYFUNCTION("""COMPUTED_VALUE"""),2824379.0)</f>
        <v>2824379</v>
      </c>
      <c r="D107" s="150" t="str">
        <f>IFERROR(__xludf.DUMMYFUNCTION("""COMPUTED_VALUE"""),"Fostering Belonging as a Leader")</f>
        <v>Fostering Belonging as a Leader</v>
      </c>
      <c r="E107" s="147" t="str">
        <f>IFERROR(__xludf.DUMMYFUNCTION("""COMPUTED_VALUE"""),"General")</f>
        <v>General</v>
      </c>
      <c r="F107" s="141" t="str">
        <f>IFERROR(__xludf.DUMMYFUNCTION("""COMPUTED_VALUE"""),"Intermediate")</f>
        <v>Intermediate</v>
      </c>
      <c r="G107" s="143">
        <f>IFERROR(__xludf.DUMMYFUNCTION("""COMPUTED_VALUE"""),0.02185185185185185)</f>
        <v>0.02185185185</v>
      </c>
      <c r="H107" s="151"/>
      <c r="I107" s="154"/>
      <c r="J107" s="154"/>
      <c r="K107" s="154"/>
      <c r="L107" s="154"/>
      <c r="M107" s="154"/>
    </row>
    <row r="108">
      <c r="A108" s="154"/>
      <c r="B108" s="154"/>
      <c r="C108" s="147">
        <f>IFERROR(__xludf.DUMMYFUNCTION("""COMPUTED_VALUE"""),2836021.0)</f>
        <v>2836021</v>
      </c>
      <c r="D108" s="150" t="str">
        <f>IFERROR(__xludf.DUMMYFUNCTION("""COMPUTED_VALUE"""),"Leadership Skills for The Future")</f>
        <v>Leadership Skills for The Future</v>
      </c>
      <c r="E108" s="147" t="str">
        <f>IFERROR(__xludf.DUMMYFUNCTION("""COMPUTED_VALUE"""),"General")</f>
        <v>General</v>
      </c>
      <c r="F108" s="141" t="str">
        <f>IFERROR(__xludf.DUMMYFUNCTION("""COMPUTED_VALUE"""),"Intermediate")</f>
        <v>Intermediate</v>
      </c>
      <c r="G108" s="143">
        <f>IFERROR(__xludf.DUMMYFUNCTION("""COMPUTED_VALUE"""),0.03795138888888889)</f>
        <v>0.03795138889</v>
      </c>
      <c r="H108" s="151"/>
      <c r="I108" s="154"/>
      <c r="J108" s="154"/>
      <c r="K108" s="154"/>
      <c r="L108" s="154"/>
      <c r="M108" s="154"/>
    </row>
    <row r="109">
      <c r="A109" s="154"/>
      <c r="B109" s="154"/>
      <c r="C109" s="147">
        <f>IFERROR(__xludf.DUMMYFUNCTION("""COMPUTED_VALUE"""),483102.0)</f>
        <v>483102</v>
      </c>
      <c r="D109" s="150" t="str">
        <f>IFERROR(__xludf.DUMMYFUNCTION("""COMPUTED_VALUE"""),"Leading Projects")</f>
        <v>Leading Projects</v>
      </c>
      <c r="E109" s="147" t="str">
        <f>IFERROR(__xludf.DUMMYFUNCTION("""COMPUTED_VALUE"""),"General")</f>
        <v>General</v>
      </c>
      <c r="F109" s="141" t="str">
        <f>IFERROR(__xludf.DUMMYFUNCTION("""COMPUTED_VALUE"""),"Intermediate")</f>
        <v>Intermediate</v>
      </c>
      <c r="G109" s="143">
        <f>IFERROR(__xludf.DUMMYFUNCTION("""COMPUTED_VALUE"""),0.09143518518518519)</f>
        <v>0.09143518519</v>
      </c>
      <c r="H109" s="151"/>
      <c r="I109" s="154"/>
      <c r="J109" s="154"/>
      <c r="K109" s="154"/>
      <c r="L109" s="154"/>
      <c r="M109" s="154"/>
    </row>
    <row r="110">
      <c r="A110" s="154"/>
      <c r="B110" s="154"/>
      <c r="C110" s="147">
        <f>IFERROR(__xludf.DUMMYFUNCTION("""COMPUTED_VALUE"""),2824374.0)</f>
        <v>2824374</v>
      </c>
      <c r="D110" s="150" t="str">
        <f>IFERROR(__xludf.DUMMYFUNCTION("""COMPUTED_VALUE"""),"How Leaders Can Motivate Others by Creating Meaning")</f>
        <v>How Leaders Can Motivate Others by Creating Meaning</v>
      </c>
      <c r="E110" s="147" t="str">
        <f>IFERROR(__xludf.DUMMYFUNCTION("""COMPUTED_VALUE"""),"General")</f>
        <v>General</v>
      </c>
      <c r="F110" s="141" t="str">
        <f>IFERROR(__xludf.DUMMYFUNCTION("""COMPUTED_VALUE"""),"Intermediate")</f>
        <v>Intermediate</v>
      </c>
      <c r="G110" s="143">
        <f>IFERROR(__xludf.DUMMYFUNCTION("""COMPUTED_VALUE"""),0.024583333333333332)</f>
        <v>0.02458333333</v>
      </c>
      <c r="H110" s="151"/>
      <c r="I110" s="154"/>
      <c r="J110" s="154"/>
      <c r="K110" s="154"/>
      <c r="L110" s="154"/>
      <c r="M110" s="154"/>
    </row>
    <row r="111">
      <c r="A111" s="154"/>
      <c r="B111" s="154"/>
      <c r="C111" s="147">
        <f>IFERROR(__xludf.DUMMYFUNCTION("""COMPUTED_VALUE"""),800197.0)</f>
        <v>800197</v>
      </c>
      <c r="D111" s="150" t="str">
        <f>IFERROR(__xludf.DUMMYFUNCTION("""COMPUTED_VALUE"""),"Leadership Strategies for Women")</f>
        <v>Leadership Strategies for Women</v>
      </c>
      <c r="E111" s="147" t="str">
        <f>IFERROR(__xludf.DUMMYFUNCTION("""COMPUTED_VALUE"""),"General")</f>
        <v>General</v>
      </c>
      <c r="F111" s="141" t="str">
        <f>IFERROR(__xludf.DUMMYFUNCTION("""COMPUTED_VALUE"""),"Intermediate")</f>
        <v>Intermediate</v>
      </c>
      <c r="G111" s="143">
        <f>IFERROR(__xludf.DUMMYFUNCTION("""COMPUTED_VALUE"""),0.04584490740740741)</f>
        <v>0.04584490741</v>
      </c>
      <c r="H111" s="151"/>
      <c r="I111" s="154"/>
      <c r="J111" s="154"/>
      <c r="K111" s="154"/>
      <c r="L111" s="154"/>
      <c r="M111" s="154"/>
    </row>
    <row r="112">
      <c r="A112" s="154"/>
      <c r="B112" s="154"/>
      <c r="C112" s="147">
        <f>IFERROR(__xludf.DUMMYFUNCTION("""COMPUTED_VALUE"""),2833004.0)</f>
        <v>2833004</v>
      </c>
      <c r="D112" s="150" t="str">
        <f>IFERROR(__xludf.DUMMYFUNCTION("""COMPUTED_VALUE"""),"Mastering Self-Leadership")</f>
        <v>Mastering Self-Leadership</v>
      </c>
      <c r="E112" s="147" t="str">
        <f>IFERROR(__xludf.DUMMYFUNCTION("""COMPUTED_VALUE"""),"General")</f>
        <v>General</v>
      </c>
      <c r="F112" s="141" t="str">
        <f>IFERROR(__xludf.DUMMYFUNCTION("""COMPUTED_VALUE"""),"General")</f>
        <v>General</v>
      </c>
      <c r="G112" s="143">
        <f>IFERROR(__xludf.DUMMYFUNCTION("""COMPUTED_VALUE"""),0.018113425925925925)</f>
        <v>0.01811342593</v>
      </c>
      <c r="H112" s="151"/>
      <c r="I112" s="154"/>
      <c r="J112" s="154"/>
      <c r="K112" s="154"/>
      <c r="L112" s="154"/>
      <c r="M112" s="154"/>
    </row>
    <row r="113">
      <c r="A113" s="154"/>
      <c r="B113" s="154"/>
      <c r="C113" s="147">
        <f>IFERROR(__xludf.DUMMYFUNCTION("""COMPUTED_VALUE"""),2874051.0)</f>
        <v>2874051</v>
      </c>
      <c r="D113" s="150" t="str">
        <f>IFERROR(__xludf.DUMMYFUNCTION("""COMPUTED_VALUE"""),"Listen to Lead")</f>
        <v>Listen to Lead</v>
      </c>
      <c r="E113" s="147" t="str">
        <f>IFERROR(__xludf.DUMMYFUNCTION("""COMPUTED_VALUE"""),"General")</f>
        <v>General</v>
      </c>
      <c r="F113" s="141" t="str">
        <f>IFERROR(__xludf.DUMMYFUNCTION("""COMPUTED_VALUE"""),"General")</f>
        <v>General</v>
      </c>
      <c r="G113" s="143">
        <f>IFERROR(__xludf.DUMMYFUNCTION("""COMPUTED_VALUE"""),0.03459490740740741)</f>
        <v>0.03459490741</v>
      </c>
      <c r="H113" s="151"/>
      <c r="I113" s="154"/>
      <c r="J113" s="154"/>
      <c r="K113" s="154"/>
      <c r="L113" s="154"/>
      <c r="M113" s="154"/>
    </row>
    <row r="114">
      <c r="A114" s="154"/>
      <c r="B114" s="154"/>
      <c r="C114" s="147">
        <f>IFERROR(__xludf.DUMMYFUNCTION("""COMPUTED_VALUE"""),2832037.0)</f>
        <v>2832037</v>
      </c>
      <c r="D114" s="150" t="str">
        <f>IFERROR(__xludf.DUMMYFUNCTION("""COMPUTED_VALUE"""),"Leading in Crisis")</f>
        <v>Leading in Crisis</v>
      </c>
      <c r="E114" s="147" t="str">
        <f>IFERROR(__xludf.DUMMYFUNCTION("""COMPUTED_VALUE"""),"General")</f>
        <v>General</v>
      </c>
      <c r="F114" s="141" t="str">
        <f>IFERROR(__xludf.DUMMYFUNCTION("""COMPUTED_VALUE"""),"General")</f>
        <v>General</v>
      </c>
      <c r="G114" s="143">
        <f>IFERROR(__xludf.DUMMYFUNCTION("""COMPUTED_VALUE"""),0.012650462962962962)</f>
        <v>0.01265046296</v>
      </c>
      <c r="H114" s="151"/>
      <c r="I114" s="154"/>
      <c r="J114" s="154"/>
      <c r="K114" s="154"/>
      <c r="L114" s="154"/>
      <c r="M114" s="154"/>
    </row>
    <row r="115">
      <c r="A115" s="154"/>
      <c r="B115" s="154"/>
      <c r="C115" s="147">
        <f>IFERROR(__xludf.DUMMYFUNCTION("""COMPUTED_VALUE"""),2800408.0)</f>
        <v>2800408</v>
      </c>
      <c r="D115" s="150" t="str">
        <f>IFERROR(__xludf.DUMMYFUNCTION("""COMPUTED_VALUE"""),"Leadership in Tech")</f>
        <v>Leadership in Tech</v>
      </c>
      <c r="E115" s="147" t="str">
        <f>IFERROR(__xludf.DUMMYFUNCTION("""COMPUTED_VALUE"""),"General")</f>
        <v>General</v>
      </c>
      <c r="F115" s="141" t="str">
        <f>IFERROR(__xludf.DUMMYFUNCTION("""COMPUTED_VALUE"""),"General")</f>
        <v>General</v>
      </c>
      <c r="G115" s="143">
        <f>IFERROR(__xludf.DUMMYFUNCTION("""COMPUTED_VALUE"""),0.04358796296296296)</f>
        <v>0.04358796296</v>
      </c>
      <c r="H115" s="151"/>
      <c r="I115" s="154"/>
      <c r="J115" s="154"/>
      <c r="K115" s="154"/>
      <c r="L115" s="154"/>
      <c r="M115" s="154"/>
    </row>
    <row r="116">
      <c r="A116" s="154"/>
      <c r="B116" s="154"/>
      <c r="C116" s="147"/>
      <c r="D116" s="159"/>
      <c r="E116" s="147"/>
      <c r="F116" s="141"/>
      <c r="G116" s="143"/>
      <c r="H116" s="151"/>
      <c r="I116" s="154"/>
      <c r="J116" s="154"/>
      <c r="K116" s="154"/>
      <c r="L116" s="154"/>
      <c r="M116" s="154"/>
    </row>
    <row r="117">
      <c r="A117" s="154"/>
      <c r="B117" s="154"/>
      <c r="C117" s="147"/>
      <c r="D117" s="159"/>
      <c r="E117" s="147"/>
      <c r="F117" s="141"/>
      <c r="G117" s="143"/>
      <c r="H117" s="151"/>
      <c r="I117" s="154"/>
      <c r="J117" s="154"/>
      <c r="K117" s="154"/>
      <c r="L117" s="154"/>
      <c r="M117" s="154"/>
    </row>
    <row r="118">
      <c r="A118" s="154"/>
      <c r="B118" s="154"/>
      <c r="C118" s="147"/>
      <c r="D118" s="159"/>
      <c r="E118" s="147"/>
      <c r="F118" s="141"/>
      <c r="G118" s="143"/>
      <c r="H118" s="151"/>
      <c r="I118" s="154"/>
      <c r="J118" s="154"/>
      <c r="K118" s="154"/>
      <c r="L118" s="154"/>
      <c r="M118" s="154"/>
    </row>
    <row r="119">
      <c r="A119" s="154"/>
      <c r="B119" s="154"/>
      <c r="C119" s="147"/>
      <c r="D119" s="159"/>
      <c r="E119" s="147"/>
      <c r="F119" s="141"/>
      <c r="G119" s="143"/>
      <c r="H119" s="151"/>
      <c r="I119" s="154"/>
      <c r="J119" s="154"/>
      <c r="K119" s="154"/>
      <c r="L119" s="154"/>
      <c r="M119" s="154"/>
    </row>
    <row r="120">
      <c r="A120" s="154"/>
      <c r="B120" s="154"/>
      <c r="C120" s="147"/>
      <c r="D120" s="153"/>
      <c r="E120" s="147"/>
      <c r="F120" s="147"/>
      <c r="G120" s="147"/>
      <c r="H120" s="151"/>
      <c r="I120" s="154"/>
      <c r="J120" s="154"/>
      <c r="K120" s="154"/>
      <c r="L120" s="154"/>
      <c r="M120" s="154"/>
    </row>
    <row r="121">
      <c r="A121" s="154"/>
      <c r="B121" s="154"/>
      <c r="C121" s="147"/>
      <c r="D121" s="153"/>
      <c r="E121" s="147"/>
      <c r="F121" s="147"/>
      <c r="G121" s="147"/>
      <c r="H121" s="151"/>
      <c r="I121" s="154"/>
      <c r="J121" s="154"/>
      <c r="K121" s="154"/>
      <c r="L121" s="154"/>
      <c r="M121" s="154"/>
    </row>
    <row r="122">
      <c r="A122" s="154"/>
      <c r="B122" s="154"/>
      <c r="C122" s="147"/>
      <c r="D122" s="153"/>
      <c r="E122" s="147"/>
      <c r="F122" s="147"/>
      <c r="G122" s="147"/>
      <c r="H122" s="151"/>
      <c r="I122" s="154"/>
      <c r="J122" s="154"/>
      <c r="K122" s="154"/>
      <c r="L122" s="154"/>
      <c r="M122" s="154"/>
    </row>
    <row r="123">
      <c r="A123" s="154"/>
      <c r="B123" s="154"/>
      <c r="C123" s="147"/>
      <c r="D123" s="153"/>
      <c r="E123" s="147"/>
      <c r="F123" s="147"/>
      <c r="G123" s="147"/>
      <c r="H123" s="151"/>
      <c r="I123" s="154"/>
      <c r="J123" s="154"/>
      <c r="K123" s="154"/>
      <c r="L123" s="154"/>
      <c r="M123" s="154"/>
    </row>
    <row r="124">
      <c r="A124" s="154"/>
      <c r="B124" s="154"/>
      <c r="C124" s="147"/>
      <c r="D124" s="153"/>
      <c r="E124" s="147"/>
      <c r="F124" s="147"/>
      <c r="G124" s="147"/>
      <c r="H124" s="151"/>
      <c r="I124" s="154"/>
      <c r="J124" s="154"/>
      <c r="K124" s="154"/>
      <c r="L124" s="154"/>
      <c r="M124" s="154"/>
    </row>
    <row r="125">
      <c r="A125" s="154"/>
      <c r="B125" s="154"/>
      <c r="C125" s="147"/>
      <c r="D125" s="153"/>
      <c r="E125" s="147"/>
      <c r="F125" s="147"/>
      <c r="G125" s="147"/>
      <c r="H125" s="151"/>
      <c r="I125" s="154"/>
      <c r="J125" s="154"/>
      <c r="K125" s="154"/>
      <c r="L125" s="154"/>
      <c r="M125" s="154"/>
    </row>
    <row r="126">
      <c r="A126" s="154"/>
      <c r="B126" s="154"/>
      <c r="C126" s="147"/>
      <c r="D126" s="153"/>
      <c r="E126" s="147"/>
      <c r="F126" s="147"/>
      <c r="G126" s="147"/>
      <c r="H126" s="151"/>
      <c r="I126" s="154"/>
      <c r="J126" s="154"/>
      <c r="K126" s="154"/>
      <c r="L126" s="154"/>
      <c r="M126" s="154"/>
    </row>
    <row r="127">
      <c r="A127" s="154"/>
      <c r="B127" s="154"/>
      <c r="C127" s="147"/>
      <c r="D127" s="153"/>
      <c r="E127" s="147"/>
      <c r="F127" s="147"/>
      <c r="G127" s="147"/>
      <c r="H127" s="151"/>
      <c r="I127" s="154"/>
      <c r="J127" s="154"/>
      <c r="K127" s="154"/>
      <c r="L127" s="154"/>
      <c r="M127" s="154"/>
    </row>
    <row r="128">
      <c r="A128" s="154"/>
      <c r="B128" s="154"/>
      <c r="C128" s="147"/>
      <c r="D128" s="153"/>
      <c r="E128" s="147"/>
      <c r="F128" s="147"/>
      <c r="G128" s="147"/>
      <c r="H128" s="151"/>
      <c r="I128" s="154"/>
      <c r="J128" s="154"/>
      <c r="K128" s="154"/>
      <c r="L128" s="154"/>
      <c r="M128" s="154"/>
    </row>
    <row r="129">
      <c r="A129" s="154"/>
      <c r="B129" s="154"/>
      <c r="C129" s="147"/>
      <c r="D129" s="153"/>
      <c r="E129" s="147"/>
      <c r="F129" s="147"/>
      <c r="G129" s="147"/>
      <c r="H129" s="151"/>
      <c r="I129" s="154"/>
      <c r="J129" s="154"/>
      <c r="K129" s="154"/>
      <c r="L129" s="154"/>
      <c r="M129" s="154"/>
    </row>
    <row r="130">
      <c r="A130" s="154"/>
      <c r="B130" s="154"/>
      <c r="C130" s="155"/>
      <c r="D130" s="156"/>
      <c r="E130" s="155"/>
      <c r="F130" s="155"/>
      <c r="G130" s="155"/>
      <c r="H130" s="157"/>
      <c r="I130" s="154"/>
      <c r="J130" s="154"/>
      <c r="K130" s="154"/>
      <c r="L130" s="154"/>
      <c r="M130" s="154"/>
    </row>
    <row r="131">
      <c r="A131" s="154"/>
      <c r="B131" s="154"/>
      <c r="C131" s="155"/>
      <c r="D131" s="156"/>
      <c r="E131" s="155"/>
      <c r="F131" s="155"/>
      <c r="G131" s="155"/>
      <c r="H131" s="157"/>
      <c r="I131" s="154"/>
      <c r="J131" s="154"/>
      <c r="K131" s="154"/>
      <c r="L131" s="154"/>
      <c r="M131" s="154"/>
    </row>
    <row r="132">
      <c r="A132" s="154"/>
      <c r="B132" s="154"/>
      <c r="C132" s="155"/>
      <c r="D132" s="156"/>
      <c r="E132" s="155"/>
      <c r="F132" s="155"/>
      <c r="G132" s="155"/>
      <c r="H132" s="157"/>
      <c r="I132" s="154"/>
      <c r="J132" s="154"/>
      <c r="K132" s="154"/>
      <c r="L132" s="154"/>
      <c r="M132" s="154"/>
    </row>
    <row r="133">
      <c r="A133" s="154"/>
      <c r="B133" s="154"/>
      <c r="C133" s="155"/>
      <c r="D133" s="156"/>
      <c r="E133" s="155"/>
      <c r="F133" s="155"/>
      <c r="G133" s="155"/>
      <c r="H133" s="157"/>
      <c r="I133" s="154"/>
      <c r="J133" s="154"/>
      <c r="K133" s="154"/>
      <c r="L133" s="154"/>
      <c r="M133" s="154"/>
    </row>
    <row r="134">
      <c r="A134" s="154"/>
      <c r="B134" s="154"/>
      <c r="C134" s="155"/>
      <c r="D134" s="156"/>
      <c r="E134" s="155"/>
      <c r="F134" s="155"/>
      <c r="G134" s="155"/>
      <c r="H134" s="157"/>
      <c r="I134" s="154"/>
      <c r="J134" s="154"/>
      <c r="K134" s="154"/>
      <c r="L134" s="154"/>
      <c r="M134" s="154"/>
    </row>
    <row r="135">
      <c r="A135" s="154"/>
      <c r="B135" s="154"/>
      <c r="C135" s="155"/>
      <c r="D135" s="156"/>
      <c r="E135" s="155"/>
      <c r="F135" s="155"/>
      <c r="G135" s="155"/>
      <c r="H135" s="157"/>
      <c r="I135" s="154"/>
      <c r="J135" s="154"/>
      <c r="K135" s="154"/>
      <c r="L135" s="154"/>
      <c r="M135" s="154"/>
    </row>
    <row r="136">
      <c r="A136" s="154"/>
      <c r="B136" s="154"/>
      <c r="C136" s="155"/>
      <c r="D136" s="156"/>
      <c r="E136" s="155"/>
      <c r="F136" s="155"/>
      <c r="G136" s="155"/>
      <c r="H136" s="157"/>
      <c r="I136" s="154"/>
      <c r="J136" s="154"/>
      <c r="K136" s="154"/>
      <c r="L136" s="154"/>
      <c r="M136" s="154"/>
    </row>
    <row r="137">
      <c r="A137" s="154"/>
      <c r="B137" s="154"/>
      <c r="C137" s="155"/>
      <c r="D137" s="156"/>
      <c r="E137" s="155"/>
      <c r="F137" s="155"/>
      <c r="G137" s="155"/>
      <c r="H137" s="157"/>
      <c r="I137" s="154"/>
      <c r="J137" s="154"/>
      <c r="K137" s="154"/>
      <c r="L137" s="154"/>
      <c r="M137" s="154"/>
    </row>
    <row r="138">
      <c r="A138" s="154"/>
      <c r="B138" s="154"/>
      <c r="C138" s="155"/>
      <c r="D138" s="156"/>
      <c r="E138" s="155"/>
      <c r="F138" s="155"/>
      <c r="G138" s="155"/>
      <c r="H138" s="157"/>
      <c r="I138" s="154"/>
      <c r="J138" s="154"/>
      <c r="K138" s="154"/>
      <c r="L138" s="154"/>
      <c r="M138" s="154"/>
    </row>
    <row r="139">
      <c r="A139" s="154"/>
      <c r="B139" s="154"/>
      <c r="C139" s="155"/>
      <c r="D139" s="156"/>
      <c r="E139" s="155"/>
      <c r="F139" s="155"/>
      <c r="G139" s="155"/>
      <c r="H139" s="157"/>
      <c r="I139" s="154"/>
      <c r="J139" s="154"/>
      <c r="K139" s="154"/>
      <c r="L139" s="154"/>
      <c r="M139" s="154"/>
    </row>
    <row r="140">
      <c r="A140" s="154"/>
      <c r="B140" s="154"/>
      <c r="C140" s="155"/>
      <c r="D140" s="156"/>
      <c r="E140" s="155"/>
      <c r="F140" s="155"/>
      <c r="G140" s="155"/>
      <c r="H140" s="157"/>
      <c r="I140" s="154"/>
      <c r="J140" s="154"/>
      <c r="K140" s="154"/>
      <c r="L140" s="154"/>
      <c r="M140" s="154"/>
    </row>
    <row r="141">
      <c r="A141" s="154"/>
      <c r="B141" s="154"/>
      <c r="C141" s="155"/>
      <c r="D141" s="156"/>
      <c r="E141" s="155"/>
      <c r="F141" s="155"/>
      <c r="G141" s="155"/>
      <c r="H141" s="157"/>
      <c r="I141" s="154"/>
      <c r="J141" s="154"/>
      <c r="K141" s="154"/>
      <c r="L141" s="154"/>
      <c r="M141" s="154"/>
    </row>
    <row r="142">
      <c r="A142" s="154"/>
      <c r="B142" s="154"/>
      <c r="C142" s="155"/>
      <c r="D142" s="156"/>
      <c r="E142" s="155"/>
      <c r="F142" s="155"/>
      <c r="G142" s="155"/>
      <c r="H142" s="157"/>
      <c r="I142" s="154"/>
      <c r="J142" s="154"/>
      <c r="K142" s="154"/>
      <c r="L142" s="154"/>
      <c r="M142" s="154"/>
    </row>
    <row r="143">
      <c r="A143" s="154"/>
      <c r="B143" s="154"/>
      <c r="C143" s="155"/>
      <c r="D143" s="156"/>
      <c r="E143" s="155"/>
      <c r="F143" s="155"/>
      <c r="G143" s="155"/>
      <c r="H143" s="157"/>
      <c r="I143" s="154"/>
      <c r="J143" s="154"/>
      <c r="K143" s="154"/>
      <c r="L143" s="154"/>
      <c r="M143" s="154"/>
    </row>
    <row r="144">
      <c r="A144" s="154"/>
      <c r="B144" s="154"/>
      <c r="C144" s="155"/>
      <c r="D144" s="156"/>
      <c r="E144" s="155"/>
      <c r="F144" s="155"/>
      <c r="G144" s="155"/>
      <c r="H144" s="157"/>
      <c r="I144" s="154"/>
      <c r="J144" s="154"/>
      <c r="K144" s="154"/>
      <c r="L144" s="154"/>
      <c r="M144" s="154"/>
    </row>
    <row r="145">
      <c r="A145" s="154"/>
      <c r="B145" s="154"/>
      <c r="C145" s="155"/>
      <c r="D145" s="156"/>
      <c r="E145" s="155"/>
      <c r="F145" s="155"/>
      <c r="G145" s="155"/>
      <c r="H145" s="157"/>
      <c r="I145" s="154"/>
      <c r="J145" s="154"/>
      <c r="K145" s="154"/>
      <c r="L145" s="154"/>
      <c r="M145" s="154"/>
    </row>
    <row r="146">
      <c r="A146" s="154"/>
      <c r="B146" s="154"/>
      <c r="C146" s="155"/>
      <c r="D146" s="156"/>
      <c r="E146" s="155"/>
      <c r="F146" s="155"/>
      <c r="G146" s="155"/>
      <c r="H146" s="157"/>
      <c r="I146" s="154"/>
      <c r="J146" s="154"/>
      <c r="K146" s="154"/>
      <c r="L146" s="154"/>
      <c r="M146" s="154"/>
    </row>
    <row r="147">
      <c r="A147" s="154"/>
      <c r="B147" s="154"/>
      <c r="C147" s="155"/>
      <c r="D147" s="156"/>
      <c r="E147" s="155"/>
      <c r="F147" s="155"/>
      <c r="G147" s="155"/>
      <c r="H147" s="157"/>
      <c r="I147" s="154"/>
      <c r="J147" s="154"/>
      <c r="K147" s="154"/>
      <c r="L147" s="154"/>
      <c r="M147" s="154"/>
    </row>
    <row r="148">
      <c r="A148" s="154"/>
      <c r="B148" s="154"/>
      <c r="C148" s="155"/>
      <c r="D148" s="156"/>
      <c r="E148" s="155"/>
      <c r="F148" s="155"/>
      <c r="G148" s="155"/>
      <c r="H148" s="157"/>
      <c r="I148" s="154"/>
      <c r="J148" s="154"/>
      <c r="K148" s="154"/>
      <c r="L148" s="154"/>
      <c r="M148" s="154"/>
    </row>
    <row r="149">
      <c r="A149" s="154"/>
      <c r="B149" s="154"/>
      <c r="C149" s="155"/>
      <c r="D149" s="156"/>
      <c r="E149" s="155"/>
      <c r="F149" s="155"/>
      <c r="G149" s="155"/>
      <c r="H149" s="157"/>
      <c r="I149" s="154"/>
      <c r="J149" s="154"/>
      <c r="K149" s="154"/>
      <c r="L149" s="154"/>
      <c r="M149" s="154"/>
    </row>
    <row r="150">
      <c r="A150" s="154"/>
      <c r="B150" s="154"/>
      <c r="C150" s="155"/>
      <c r="D150" s="156"/>
      <c r="E150" s="155"/>
      <c r="F150" s="155"/>
      <c r="G150" s="155"/>
      <c r="H150" s="157"/>
      <c r="I150" s="154"/>
      <c r="J150" s="154"/>
      <c r="K150" s="154"/>
      <c r="L150" s="154"/>
      <c r="M150" s="154"/>
    </row>
    <row r="151">
      <c r="A151" s="154"/>
      <c r="B151" s="154"/>
      <c r="C151" s="155"/>
      <c r="D151" s="156"/>
      <c r="E151" s="155"/>
      <c r="F151" s="155"/>
      <c r="G151" s="155"/>
      <c r="H151" s="157"/>
      <c r="I151" s="154"/>
      <c r="J151" s="154"/>
      <c r="K151" s="154"/>
      <c r="L151" s="154"/>
      <c r="M151" s="154"/>
    </row>
    <row r="152">
      <c r="A152" s="154"/>
      <c r="B152" s="154"/>
      <c r="C152" s="155"/>
      <c r="D152" s="156"/>
      <c r="E152" s="155"/>
      <c r="F152" s="155"/>
      <c r="G152" s="155"/>
      <c r="H152" s="157"/>
      <c r="I152" s="154"/>
      <c r="J152" s="154"/>
      <c r="K152" s="154"/>
      <c r="L152" s="154"/>
      <c r="M152" s="154"/>
    </row>
    <row r="153">
      <c r="A153" s="154"/>
      <c r="B153" s="154"/>
      <c r="C153" s="155"/>
      <c r="D153" s="156"/>
      <c r="E153" s="155"/>
      <c r="F153" s="155"/>
      <c r="G153" s="155"/>
      <c r="H153" s="157"/>
      <c r="I153" s="154"/>
      <c r="J153" s="154"/>
      <c r="K153" s="154"/>
      <c r="L153" s="154"/>
      <c r="M153" s="154"/>
    </row>
    <row r="154">
      <c r="A154" s="154"/>
      <c r="B154" s="154"/>
      <c r="C154" s="155"/>
      <c r="D154" s="156"/>
      <c r="E154" s="155"/>
      <c r="F154" s="155"/>
      <c r="G154" s="155"/>
      <c r="H154" s="157"/>
      <c r="I154" s="154"/>
      <c r="J154" s="154"/>
      <c r="K154" s="154"/>
      <c r="L154" s="154"/>
      <c r="M154" s="154"/>
    </row>
    <row r="155">
      <c r="A155" s="154"/>
      <c r="B155" s="154"/>
      <c r="C155" s="155"/>
      <c r="D155" s="156"/>
      <c r="E155" s="155"/>
      <c r="F155" s="155"/>
      <c r="G155" s="155"/>
      <c r="H155" s="157"/>
      <c r="I155" s="154"/>
      <c r="J155" s="154"/>
      <c r="K155" s="154"/>
      <c r="L155" s="154"/>
      <c r="M155" s="154"/>
    </row>
    <row r="156">
      <c r="A156" s="154"/>
      <c r="B156" s="154"/>
      <c r="C156" s="155"/>
      <c r="D156" s="156"/>
      <c r="E156" s="155"/>
      <c r="F156" s="155"/>
      <c r="G156" s="155"/>
      <c r="H156" s="157"/>
      <c r="I156" s="154"/>
      <c r="J156" s="154"/>
      <c r="K156" s="154"/>
      <c r="L156" s="154"/>
      <c r="M156" s="154"/>
    </row>
    <row r="157">
      <c r="A157" s="154"/>
      <c r="B157" s="154"/>
      <c r="C157" s="155"/>
      <c r="D157" s="156"/>
      <c r="E157" s="155"/>
      <c r="F157" s="155"/>
      <c r="G157" s="155"/>
      <c r="H157" s="157"/>
      <c r="I157" s="154"/>
      <c r="J157" s="154"/>
      <c r="K157" s="154"/>
      <c r="L157" s="154"/>
      <c r="M157" s="154"/>
    </row>
    <row r="158">
      <c r="A158" s="154"/>
      <c r="B158" s="154"/>
      <c r="C158" s="155"/>
      <c r="D158" s="156"/>
      <c r="E158" s="155"/>
      <c r="F158" s="155"/>
      <c r="G158" s="155"/>
      <c r="H158" s="157"/>
      <c r="I158" s="154"/>
      <c r="J158" s="154"/>
      <c r="K158" s="154"/>
      <c r="L158" s="154"/>
      <c r="M158" s="154"/>
    </row>
    <row r="159">
      <c r="A159" s="154"/>
      <c r="B159" s="154"/>
      <c r="C159" s="155"/>
      <c r="D159" s="156"/>
      <c r="E159" s="155"/>
      <c r="F159" s="155"/>
      <c r="G159" s="155"/>
      <c r="H159" s="157"/>
      <c r="I159" s="154"/>
      <c r="J159" s="154"/>
      <c r="K159" s="154"/>
      <c r="L159" s="154"/>
      <c r="M159" s="154"/>
    </row>
    <row r="160">
      <c r="A160" s="154"/>
      <c r="B160" s="154"/>
      <c r="C160" s="155"/>
      <c r="D160" s="156"/>
      <c r="E160" s="155"/>
      <c r="F160" s="155"/>
      <c r="G160" s="155"/>
      <c r="H160" s="157"/>
      <c r="I160" s="154"/>
      <c r="J160" s="154"/>
      <c r="K160" s="154"/>
      <c r="L160" s="154"/>
      <c r="M160" s="154"/>
    </row>
    <row r="161">
      <c r="A161" s="154"/>
      <c r="B161" s="154"/>
      <c r="C161" s="155"/>
      <c r="D161" s="156"/>
      <c r="E161" s="155"/>
      <c r="F161" s="155"/>
      <c r="G161" s="155"/>
      <c r="H161" s="157"/>
      <c r="I161" s="154"/>
      <c r="J161" s="154"/>
      <c r="K161" s="154"/>
      <c r="L161" s="154"/>
      <c r="M161" s="154"/>
    </row>
    <row r="162">
      <c r="A162" s="154"/>
      <c r="B162" s="154"/>
      <c r="C162" s="155"/>
      <c r="D162" s="156"/>
      <c r="E162" s="155"/>
      <c r="F162" s="155"/>
      <c r="G162" s="155"/>
      <c r="H162" s="157"/>
      <c r="I162" s="154"/>
      <c r="J162" s="154"/>
      <c r="K162" s="154"/>
      <c r="L162" s="154"/>
      <c r="M162" s="154"/>
    </row>
    <row r="163">
      <c r="A163" s="154"/>
      <c r="B163" s="154"/>
      <c r="C163" s="155"/>
      <c r="D163" s="156"/>
      <c r="E163" s="155"/>
      <c r="F163" s="155"/>
      <c r="G163" s="155"/>
      <c r="H163" s="157"/>
      <c r="I163" s="154"/>
      <c r="J163" s="154"/>
      <c r="K163" s="154"/>
      <c r="L163" s="154"/>
      <c r="M163" s="154"/>
    </row>
    <row r="164">
      <c r="A164" s="154"/>
      <c r="B164" s="154"/>
      <c r="C164" s="155"/>
      <c r="D164" s="156"/>
      <c r="E164" s="155"/>
      <c r="F164" s="155"/>
      <c r="G164" s="155"/>
      <c r="H164" s="157"/>
      <c r="I164" s="154"/>
      <c r="J164" s="154"/>
      <c r="K164" s="154"/>
      <c r="L164" s="154"/>
      <c r="M164" s="154"/>
    </row>
    <row r="165">
      <c r="A165" s="154"/>
      <c r="B165" s="154"/>
      <c r="C165" s="155"/>
      <c r="D165" s="156"/>
      <c r="E165" s="155"/>
      <c r="F165" s="155"/>
      <c r="G165" s="155"/>
      <c r="H165" s="157"/>
      <c r="I165" s="154"/>
      <c r="J165" s="154"/>
      <c r="K165" s="154"/>
      <c r="L165" s="154"/>
      <c r="M165" s="154"/>
    </row>
    <row r="166">
      <c r="A166" s="154"/>
      <c r="B166" s="154"/>
      <c r="C166" s="155"/>
      <c r="D166" s="156"/>
      <c r="E166" s="155"/>
      <c r="F166" s="155"/>
      <c r="G166" s="155"/>
      <c r="H166" s="157"/>
      <c r="I166" s="154"/>
      <c r="J166" s="154"/>
      <c r="K166" s="154"/>
      <c r="L166" s="154"/>
      <c r="M166" s="154"/>
    </row>
    <row r="167">
      <c r="A167" s="154"/>
      <c r="B167" s="154"/>
      <c r="C167" s="155"/>
      <c r="D167" s="156"/>
      <c r="E167" s="155"/>
      <c r="F167" s="155"/>
      <c r="G167" s="155"/>
      <c r="H167" s="157"/>
      <c r="I167" s="154"/>
      <c r="J167" s="154"/>
      <c r="K167" s="154"/>
      <c r="L167" s="154"/>
      <c r="M167" s="154"/>
    </row>
    <row r="168">
      <c r="A168" s="154"/>
      <c r="B168" s="154"/>
      <c r="C168" s="155"/>
      <c r="D168" s="156"/>
      <c r="E168" s="155"/>
      <c r="F168" s="155"/>
      <c r="G168" s="155"/>
      <c r="H168" s="157"/>
      <c r="I168" s="154"/>
      <c r="J168" s="154"/>
      <c r="K168" s="154"/>
      <c r="L168" s="154"/>
      <c r="M168" s="154"/>
    </row>
    <row r="169">
      <c r="A169" s="154"/>
      <c r="B169" s="154"/>
      <c r="C169" s="155"/>
      <c r="D169" s="156"/>
      <c r="E169" s="155"/>
      <c r="F169" s="155"/>
      <c r="G169" s="155"/>
      <c r="H169" s="157"/>
      <c r="I169" s="154"/>
      <c r="J169" s="154"/>
      <c r="K169" s="154"/>
      <c r="L169" s="154"/>
      <c r="M169" s="154"/>
    </row>
    <row r="170">
      <c r="A170" s="154"/>
      <c r="B170" s="154"/>
      <c r="C170" s="155"/>
      <c r="D170" s="156"/>
      <c r="E170" s="155"/>
      <c r="F170" s="155"/>
      <c r="G170" s="155"/>
      <c r="H170" s="157"/>
      <c r="I170" s="154"/>
      <c r="J170" s="154"/>
      <c r="K170" s="154"/>
      <c r="L170" s="154"/>
      <c r="M170" s="154"/>
    </row>
    <row r="171">
      <c r="A171" s="154"/>
      <c r="B171" s="154"/>
      <c r="C171" s="155"/>
      <c r="D171" s="156"/>
      <c r="E171" s="155"/>
      <c r="F171" s="155"/>
      <c r="G171" s="155"/>
      <c r="H171" s="157"/>
      <c r="I171" s="154"/>
      <c r="J171" s="154"/>
      <c r="K171" s="154"/>
      <c r="L171" s="154"/>
      <c r="M171" s="154"/>
    </row>
    <row r="172">
      <c r="A172" s="154"/>
      <c r="B172" s="154"/>
      <c r="C172" s="155"/>
      <c r="D172" s="156"/>
      <c r="E172" s="155"/>
      <c r="F172" s="155"/>
      <c r="G172" s="155"/>
      <c r="H172" s="157"/>
      <c r="I172" s="154"/>
      <c r="J172" s="154"/>
      <c r="K172" s="154"/>
      <c r="L172" s="154"/>
      <c r="M172" s="154"/>
    </row>
    <row r="173">
      <c r="A173" s="154"/>
      <c r="B173" s="154"/>
      <c r="C173" s="155"/>
      <c r="D173" s="156"/>
      <c r="E173" s="155"/>
      <c r="F173" s="155"/>
      <c r="G173" s="155"/>
      <c r="H173" s="157"/>
      <c r="I173" s="154"/>
      <c r="J173" s="154"/>
      <c r="K173" s="154"/>
      <c r="L173" s="154"/>
      <c r="M173" s="154"/>
    </row>
    <row r="174">
      <c r="A174" s="154"/>
      <c r="B174" s="154"/>
      <c r="C174" s="155"/>
      <c r="D174" s="156"/>
      <c r="E174" s="155"/>
      <c r="F174" s="155"/>
      <c r="G174" s="155"/>
      <c r="H174" s="157"/>
      <c r="I174" s="154"/>
      <c r="J174" s="154"/>
      <c r="K174" s="154"/>
      <c r="L174" s="154"/>
      <c r="M174" s="154"/>
    </row>
    <row r="175">
      <c r="A175" s="154"/>
      <c r="B175" s="154"/>
      <c r="C175" s="155"/>
      <c r="D175" s="156"/>
      <c r="E175" s="155"/>
      <c r="F175" s="155"/>
      <c r="G175" s="155"/>
      <c r="H175" s="157"/>
      <c r="I175" s="154"/>
      <c r="J175" s="154"/>
      <c r="K175" s="154"/>
      <c r="L175" s="154"/>
      <c r="M175" s="154"/>
    </row>
    <row r="176">
      <c r="A176" s="154"/>
      <c r="B176" s="154"/>
      <c r="C176" s="155"/>
      <c r="D176" s="156"/>
      <c r="E176" s="155"/>
      <c r="F176" s="155"/>
      <c r="G176" s="155"/>
      <c r="H176" s="157"/>
      <c r="I176" s="154"/>
      <c r="J176" s="154"/>
      <c r="K176" s="154"/>
      <c r="L176" s="154"/>
      <c r="M176" s="154"/>
    </row>
    <row r="177">
      <c r="A177" s="154"/>
      <c r="B177" s="154"/>
      <c r="C177" s="155"/>
      <c r="D177" s="156"/>
      <c r="E177" s="155"/>
      <c r="F177" s="155"/>
      <c r="G177" s="155"/>
      <c r="H177" s="157"/>
      <c r="I177" s="154"/>
      <c r="J177" s="154"/>
      <c r="K177" s="154"/>
      <c r="L177" s="154"/>
      <c r="M177" s="154"/>
    </row>
    <row r="178">
      <c r="A178" s="154"/>
      <c r="B178" s="154"/>
      <c r="C178" s="155"/>
      <c r="D178" s="156"/>
      <c r="E178" s="155"/>
      <c r="F178" s="155"/>
      <c r="G178" s="155"/>
      <c r="H178" s="157"/>
      <c r="I178" s="154"/>
      <c r="J178" s="154"/>
      <c r="K178" s="154"/>
      <c r="L178" s="154"/>
      <c r="M178" s="154"/>
    </row>
    <row r="179">
      <c r="A179" s="154"/>
      <c r="B179" s="154"/>
      <c r="C179" s="155"/>
      <c r="D179" s="156"/>
      <c r="E179" s="155"/>
      <c r="F179" s="155"/>
      <c r="G179" s="155"/>
      <c r="H179" s="157"/>
      <c r="I179" s="154"/>
      <c r="J179" s="154"/>
      <c r="K179" s="154"/>
      <c r="L179" s="154"/>
      <c r="M179" s="154"/>
    </row>
    <row r="180">
      <c r="A180" s="154"/>
      <c r="B180" s="154"/>
      <c r="C180" s="155"/>
      <c r="D180" s="156"/>
      <c r="E180" s="155"/>
      <c r="F180" s="155"/>
      <c r="G180" s="155"/>
      <c r="H180" s="157"/>
      <c r="I180" s="154"/>
      <c r="J180" s="154"/>
      <c r="K180" s="154"/>
      <c r="L180" s="154"/>
      <c r="M180" s="154"/>
    </row>
    <row r="181">
      <c r="A181" s="154"/>
      <c r="B181" s="154"/>
      <c r="C181" s="155"/>
      <c r="D181" s="156"/>
      <c r="E181" s="155"/>
      <c r="F181" s="155"/>
      <c r="G181" s="155"/>
      <c r="H181" s="157"/>
      <c r="I181" s="154"/>
      <c r="J181" s="154"/>
      <c r="K181" s="154"/>
      <c r="L181" s="154"/>
      <c r="M181" s="154"/>
    </row>
    <row r="182">
      <c r="A182" s="154"/>
      <c r="B182" s="154"/>
      <c r="C182" s="155"/>
      <c r="D182" s="156"/>
      <c r="E182" s="155"/>
      <c r="F182" s="155"/>
      <c r="G182" s="155"/>
      <c r="H182" s="157"/>
      <c r="I182" s="154"/>
      <c r="J182" s="154"/>
      <c r="K182" s="154"/>
      <c r="L182" s="154"/>
      <c r="M182" s="154"/>
    </row>
    <row r="183">
      <c r="A183" s="154"/>
      <c r="B183" s="154"/>
      <c r="C183" s="155"/>
      <c r="D183" s="156"/>
      <c r="E183" s="155"/>
      <c r="F183" s="155"/>
      <c r="G183" s="155"/>
      <c r="H183" s="157"/>
      <c r="I183" s="154"/>
      <c r="J183" s="154"/>
      <c r="K183" s="154"/>
      <c r="L183" s="154"/>
      <c r="M183" s="154"/>
    </row>
    <row r="184">
      <c r="A184" s="154"/>
      <c r="B184" s="154"/>
      <c r="C184" s="155"/>
      <c r="D184" s="156"/>
      <c r="E184" s="155"/>
      <c r="F184" s="155"/>
      <c r="G184" s="155"/>
      <c r="H184" s="157"/>
      <c r="I184" s="154"/>
      <c r="J184" s="154"/>
      <c r="K184" s="154"/>
      <c r="L184" s="154"/>
      <c r="M184" s="154"/>
    </row>
    <row r="185">
      <c r="A185" s="154"/>
      <c r="B185" s="154"/>
      <c r="C185" s="155"/>
      <c r="D185" s="156"/>
      <c r="E185" s="155"/>
      <c r="F185" s="155"/>
      <c r="G185" s="155"/>
      <c r="H185" s="157"/>
      <c r="I185" s="154"/>
      <c r="J185" s="154"/>
      <c r="K185" s="154"/>
      <c r="L185" s="154"/>
      <c r="M185" s="154"/>
    </row>
    <row r="186">
      <c r="A186" s="154"/>
      <c r="B186" s="154"/>
      <c r="C186" s="155"/>
      <c r="D186" s="156"/>
      <c r="E186" s="155"/>
      <c r="F186" s="155"/>
      <c r="G186" s="155"/>
      <c r="H186" s="157"/>
      <c r="I186" s="154"/>
      <c r="J186" s="154"/>
      <c r="K186" s="154"/>
      <c r="L186" s="154"/>
      <c r="M186" s="154"/>
    </row>
    <row r="187">
      <c r="A187" s="154"/>
      <c r="B187" s="154"/>
      <c r="C187" s="155"/>
      <c r="D187" s="156"/>
      <c r="E187" s="155"/>
      <c r="F187" s="155"/>
      <c r="G187" s="155"/>
      <c r="H187" s="157"/>
      <c r="I187" s="154"/>
      <c r="J187" s="154"/>
      <c r="K187" s="154"/>
      <c r="L187" s="154"/>
      <c r="M187" s="154"/>
    </row>
    <row r="188">
      <c r="A188" s="154"/>
      <c r="B188" s="154"/>
      <c r="C188" s="155"/>
      <c r="D188" s="156"/>
      <c r="E188" s="155"/>
      <c r="F188" s="155"/>
      <c r="G188" s="155"/>
      <c r="H188" s="157"/>
      <c r="I188" s="154"/>
      <c r="J188" s="154"/>
      <c r="K188" s="154"/>
      <c r="L188" s="154"/>
      <c r="M188" s="154"/>
    </row>
    <row r="189">
      <c r="A189" s="154"/>
      <c r="B189" s="154"/>
      <c r="C189" s="155"/>
      <c r="D189" s="156"/>
      <c r="E189" s="155"/>
      <c r="F189" s="155"/>
      <c r="G189" s="155"/>
      <c r="H189" s="157"/>
      <c r="I189" s="154"/>
      <c r="J189" s="154"/>
      <c r="K189" s="154"/>
      <c r="L189" s="154"/>
      <c r="M189" s="154"/>
    </row>
    <row r="190">
      <c r="A190" s="154"/>
      <c r="B190" s="154"/>
      <c r="C190" s="155"/>
      <c r="D190" s="156"/>
      <c r="E190" s="155"/>
      <c r="F190" s="155"/>
      <c r="G190" s="155"/>
      <c r="H190" s="157"/>
      <c r="I190" s="154"/>
      <c r="J190" s="154"/>
      <c r="K190" s="154"/>
      <c r="L190" s="154"/>
      <c r="M190" s="154"/>
    </row>
    <row r="191">
      <c r="A191" s="154"/>
      <c r="B191" s="154"/>
      <c r="C191" s="155"/>
      <c r="D191" s="156"/>
      <c r="E191" s="155"/>
      <c r="F191" s="155"/>
      <c r="G191" s="155"/>
      <c r="H191" s="157"/>
      <c r="I191" s="154"/>
      <c r="J191" s="154"/>
      <c r="K191" s="154"/>
      <c r="L191" s="154"/>
      <c r="M191" s="154"/>
    </row>
    <row r="192">
      <c r="A192" s="154"/>
      <c r="B192" s="154"/>
      <c r="C192" s="155"/>
      <c r="D192" s="156"/>
      <c r="E192" s="155"/>
      <c r="F192" s="155"/>
      <c r="G192" s="155"/>
      <c r="H192" s="157"/>
      <c r="I192" s="154"/>
      <c r="J192" s="154"/>
      <c r="K192" s="154"/>
      <c r="L192" s="154"/>
      <c r="M192" s="154"/>
    </row>
    <row r="193">
      <c r="A193" s="154"/>
      <c r="B193" s="154"/>
      <c r="C193" s="155"/>
      <c r="D193" s="156"/>
      <c r="E193" s="155"/>
      <c r="F193" s="155"/>
      <c r="G193" s="155"/>
      <c r="H193" s="157"/>
      <c r="I193" s="154"/>
      <c r="J193" s="154"/>
      <c r="K193" s="154"/>
      <c r="L193" s="154"/>
      <c r="M193" s="154"/>
    </row>
    <row r="194">
      <c r="A194" s="154"/>
      <c r="B194" s="154"/>
      <c r="C194" s="155"/>
      <c r="D194" s="156"/>
      <c r="E194" s="155"/>
      <c r="F194" s="155"/>
      <c r="G194" s="155"/>
      <c r="H194" s="157"/>
      <c r="I194" s="154"/>
      <c r="J194" s="154"/>
      <c r="K194" s="154"/>
      <c r="L194" s="154"/>
      <c r="M194" s="154"/>
    </row>
    <row r="195">
      <c r="A195" s="154"/>
      <c r="B195" s="154"/>
      <c r="C195" s="155"/>
      <c r="D195" s="156"/>
      <c r="E195" s="155"/>
      <c r="F195" s="155"/>
      <c r="G195" s="155"/>
      <c r="H195" s="157"/>
      <c r="I195" s="154"/>
      <c r="J195" s="154"/>
      <c r="K195" s="154"/>
      <c r="L195" s="154"/>
      <c r="M195" s="154"/>
    </row>
    <row r="196">
      <c r="A196" s="154"/>
      <c r="B196" s="154"/>
      <c r="C196" s="155"/>
      <c r="D196" s="156"/>
      <c r="E196" s="155"/>
      <c r="F196" s="155"/>
      <c r="G196" s="155"/>
      <c r="H196" s="157"/>
      <c r="I196" s="154"/>
      <c r="J196" s="154"/>
      <c r="K196" s="154"/>
      <c r="L196" s="154"/>
      <c r="M196" s="154"/>
    </row>
    <row r="197">
      <c r="A197" s="154"/>
      <c r="B197" s="154"/>
      <c r="C197" s="155"/>
      <c r="D197" s="156"/>
      <c r="E197" s="155"/>
      <c r="F197" s="155"/>
      <c r="G197" s="155"/>
      <c r="H197" s="157"/>
      <c r="I197" s="154"/>
      <c r="J197" s="154"/>
      <c r="K197" s="154"/>
      <c r="L197" s="154"/>
      <c r="M197" s="154"/>
    </row>
    <row r="198">
      <c r="A198" s="154"/>
      <c r="B198" s="154"/>
      <c r="C198" s="155"/>
      <c r="D198" s="156"/>
      <c r="E198" s="155"/>
      <c r="F198" s="155"/>
      <c r="G198" s="155"/>
      <c r="H198" s="157"/>
      <c r="I198" s="154"/>
      <c r="J198" s="154"/>
      <c r="K198" s="154"/>
      <c r="L198" s="154"/>
      <c r="M198" s="154"/>
    </row>
    <row r="199">
      <c r="A199" s="154"/>
      <c r="B199" s="154"/>
      <c r="C199" s="155"/>
      <c r="D199" s="156"/>
      <c r="E199" s="155"/>
      <c r="F199" s="155"/>
      <c r="G199" s="155"/>
      <c r="H199" s="157"/>
      <c r="I199" s="154"/>
      <c r="J199" s="154"/>
      <c r="K199" s="154"/>
      <c r="L199" s="154"/>
      <c r="M199" s="154"/>
    </row>
    <row r="200">
      <c r="A200" s="154"/>
      <c r="B200" s="154"/>
      <c r="C200" s="155"/>
      <c r="D200" s="156"/>
      <c r="E200" s="155"/>
      <c r="F200" s="155"/>
      <c r="G200" s="155"/>
      <c r="H200" s="157"/>
      <c r="I200" s="154"/>
      <c r="J200" s="154"/>
      <c r="K200" s="154"/>
      <c r="L200" s="154"/>
      <c r="M200" s="154"/>
    </row>
    <row r="201">
      <c r="A201" s="154"/>
      <c r="B201" s="154"/>
      <c r="C201" s="155"/>
      <c r="D201" s="156"/>
      <c r="E201" s="155"/>
      <c r="F201" s="155"/>
      <c r="G201" s="155"/>
      <c r="H201" s="157"/>
      <c r="I201" s="154"/>
      <c r="J201" s="154"/>
      <c r="K201" s="154"/>
      <c r="L201" s="154"/>
      <c r="M201" s="154"/>
    </row>
    <row r="202">
      <c r="A202" s="154"/>
      <c r="B202" s="154"/>
      <c r="C202" s="155"/>
      <c r="D202" s="156"/>
      <c r="E202" s="155"/>
      <c r="F202" s="155"/>
      <c r="G202" s="155"/>
      <c r="H202" s="157"/>
      <c r="I202" s="154"/>
      <c r="J202" s="154"/>
      <c r="K202" s="154"/>
      <c r="L202" s="154"/>
      <c r="M202" s="154"/>
    </row>
    <row r="203">
      <c r="A203" s="154"/>
      <c r="B203" s="154"/>
      <c r="C203" s="155"/>
      <c r="D203" s="156"/>
      <c r="E203" s="155"/>
      <c r="F203" s="155"/>
      <c r="G203" s="155"/>
      <c r="H203" s="157"/>
      <c r="I203" s="154"/>
      <c r="J203" s="154"/>
      <c r="K203" s="154"/>
      <c r="L203" s="154"/>
      <c r="M203" s="154"/>
    </row>
    <row r="204">
      <c r="A204" s="154"/>
      <c r="B204" s="154"/>
      <c r="C204" s="155"/>
      <c r="D204" s="156"/>
      <c r="E204" s="155"/>
      <c r="F204" s="155"/>
      <c r="G204" s="155"/>
      <c r="H204" s="157"/>
      <c r="I204" s="154"/>
      <c r="J204" s="154"/>
      <c r="K204" s="154"/>
      <c r="L204" s="154"/>
      <c r="M204" s="154"/>
    </row>
    <row r="205">
      <c r="A205" s="154"/>
      <c r="B205" s="154"/>
      <c r="C205" s="155"/>
      <c r="D205" s="156"/>
      <c r="E205" s="155"/>
      <c r="F205" s="155"/>
      <c r="G205" s="155"/>
      <c r="H205" s="157"/>
      <c r="I205" s="154"/>
      <c r="J205" s="154"/>
      <c r="K205" s="154"/>
      <c r="L205" s="154"/>
      <c r="M205" s="154"/>
    </row>
    <row r="206">
      <c r="A206" s="154"/>
      <c r="B206" s="154"/>
      <c r="C206" s="155"/>
      <c r="D206" s="156"/>
      <c r="E206" s="155"/>
      <c r="F206" s="155"/>
      <c r="G206" s="155"/>
      <c r="H206" s="157"/>
      <c r="I206" s="154"/>
      <c r="J206" s="154"/>
      <c r="K206" s="154"/>
      <c r="L206" s="154"/>
      <c r="M206" s="154"/>
    </row>
    <row r="207">
      <c r="A207" s="154"/>
      <c r="B207" s="154"/>
      <c r="C207" s="155"/>
      <c r="D207" s="156"/>
      <c r="E207" s="155"/>
      <c r="F207" s="155"/>
      <c r="G207" s="155"/>
      <c r="H207" s="157"/>
      <c r="I207" s="154"/>
      <c r="J207" s="154"/>
      <c r="K207" s="154"/>
      <c r="L207" s="154"/>
      <c r="M207" s="154"/>
    </row>
    <row r="208">
      <c r="A208" s="154"/>
      <c r="B208" s="154"/>
      <c r="C208" s="155"/>
      <c r="D208" s="156"/>
      <c r="E208" s="155"/>
      <c r="F208" s="155"/>
      <c r="G208" s="155"/>
      <c r="H208" s="157"/>
      <c r="I208" s="154"/>
      <c r="J208" s="154"/>
      <c r="K208" s="154"/>
      <c r="L208" s="154"/>
      <c r="M208" s="154"/>
    </row>
    <row r="209">
      <c r="A209" s="154"/>
      <c r="B209" s="154"/>
      <c r="C209" s="155"/>
      <c r="D209" s="156"/>
      <c r="E209" s="155"/>
      <c r="F209" s="155"/>
      <c r="G209" s="155"/>
      <c r="H209" s="157"/>
      <c r="I209" s="154"/>
      <c r="J209" s="154"/>
      <c r="K209" s="154"/>
      <c r="L209" s="154"/>
      <c r="M209" s="154"/>
    </row>
    <row r="210">
      <c r="A210" s="154"/>
      <c r="B210" s="154"/>
      <c r="C210" s="155"/>
      <c r="D210" s="156"/>
      <c r="E210" s="155"/>
      <c r="F210" s="155"/>
      <c r="G210" s="155"/>
      <c r="H210" s="157"/>
      <c r="I210" s="154"/>
      <c r="J210" s="154"/>
      <c r="K210" s="154"/>
      <c r="L210" s="154"/>
      <c r="M210" s="154"/>
    </row>
    <row r="211">
      <c r="A211" s="154"/>
      <c r="B211" s="154"/>
      <c r="C211" s="155"/>
      <c r="D211" s="156"/>
      <c r="E211" s="155"/>
      <c r="F211" s="155"/>
      <c r="G211" s="155"/>
      <c r="H211" s="157"/>
      <c r="I211" s="154"/>
      <c r="J211" s="154"/>
      <c r="K211" s="154"/>
      <c r="L211" s="154"/>
      <c r="M211" s="154"/>
    </row>
    <row r="212">
      <c r="A212" s="154"/>
      <c r="B212" s="154"/>
      <c r="C212" s="155"/>
      <c r="D212" s="156"/>
      <c r="E212" s="155"/>
      <c r="F212" s="155"/>
      <c r="G212" s="155"/>
      <c r="H212" s="157"/>
      <c r="I212" s="154"/>
      <c r="J212" s="154"/>
      <c r="K212" s="154"/>
      <c r="L212" s="154"/>
      <c r="M212" s="154"/>
    </row>
    <row r="213">
      <c r="A213" s="154"/>
      <c r="B213" s="154"/>
      <c r="C213" s="155"/>
      <c r="D213" s="156"/>
      <c r="E213" s="155"/>
      <c r="F213" s="155"/>
      <c r="G213" s="155"/>
      <c r="H213" s="157"/>
      <c r="I213" s="154"/>
      <c r="J213" s="154"/>
      <c r="K213" s="154"/>
      <c r="L213" s="154"/>
      <c r="M213" s="154"/>
    </row>
    <row r="214">
      <c r="A214" s="154"/>
      <c r="B214" s="154"/>
      <c r="C214" s="155"/>
      <c r="D214" s="156"/>
      <c r="E214" s="155"/>
      <c r="F214" s="155"/>
      <c r="G214" s="155"/>
      <c r="H214" s="157"/>
      <c r="I214" s="154"/>
      <c r="J214" s="154"/>
      <c r="K214" s="154"/>
      <c r="L214" s="154"/>
      <c r="M214" s="154"/>
    </row>
    <row r="215">
      <c r="A215" s="154"/>
      <c r="B215" s="154"/>
      <c r="C215" s="155"/>
      <c r="D215" s="156"/>
      <c r="E215" s="155"/>
      <c r="F215" s="155"/>
      <c r="G215" s="155"/>
      <c r="H215" s="157"/>
      <c r="I215" s="154"/>
      <c r="J215" s="154"/>
      <c r="K215" s="154"/>
      <c r="L215" s="154"/>
      <c r="M215" s="154"/>
    </row>
    <row r="216">
      <c r="A216" s="154"/>
      <c r="B216" s="154"/>
      <c r="C216" s="155"/>
      <c r="D216" s="156"/>
      <c r="E216" s="155"/>
      <c r="F216" s="155"/>
      <c r="G216" s="155"/>
      <c r="H216" s="157"/>
      <c r="I216" s="154"/>
      <c r="J216" s="154"/>
      <c r="K216" s="154"/>
      <c r="L216" s="154"/>
      <c r="M216" s="154"/>
    </row>
    <row r="217">
      <c r="A217" s="154"/>
      <c r="B217" s="154"/>
      <c r="C217" s="155"/>
      <c r="D217" s="156"/>
      <c r="E217" s="155"/>
      <c r="F217" s="155"/>
      <c r="G217" s="155"/>
      <c r="H217" s="157"/>
      <c r="I217" s="154"/>
      <c r="J217" s="154"/>
      <c r="K217" s="154"/>
      <c r="L217" s="154"/>
      <c r="M217" s="154"/>
    </row>
    <row r="218">
      <c r="A218" s="154"/>
      <c r="B218" s="154"/>
      <c r="C218" s="155"/>
      <c r="D218" s="156"/>
      <c r="E218" s="155"/>
      <c r="F218" s="155"/>
      <c r="G218" s="155"/>
      <c r="H218" s="157"/>
      <c r="I218" s="154"/>
      <c r="J218" s="154"/>
      <c r="K218" s="154"/>
      <c r="L218" s="154"/>
      <c r="M218" s="154"/>
    </row>
    <row r="219">
      <c r="A219" s="154"/>
      <c r="B219" s="154"/>
      <c r="C219" s="155"/>
      <c r="D219" s="156"/>
      <c r="E219" s="155"/>
      <c r="F219" s="155"/>
      <c r="G219" s="155"/>
      <c r="H219" s="157"/>
      <c r="I219" s="154"/>
      <c r="J219" s="154"/>
      <c r="K219" s="154"/>
      <c r="L219" s="154"/>
      <c r="M219" s="154"/>
    </row>
    <row r="220">
      <c r="A220" s="154"/>
      <c r="B220" s="154"/>
      <c r="C220" s="155"/>
      <c r="D220" s="156"/>
      <c r="E220" s="155"/>
      <c r="F220" s="155"/>
      <c r="G220" s="155"/>
      <c r="H220" s="157"/>
      <c r="I220" s="154"/>
      <c r="J220" s="154"/>
      <c r="K220" s="154"/>
      <c r="L220" s="154"/>
      <c r="M220" s="154"/>
    </row>
    <row r="221">
      <c r="A221" s="154"/>
      <c r="B221" s="154"/>
      <c r="C221" s="155"/>
      <c r="D221" s="156"/>
      <c r="E221" s="155"/>
      <c r="F221" s="155"/>
      <c r="G221" s="155"/>
      <c r="H221" s="157"/>
      <c r="I221" s="154"/>
      <c r="J221" s="154"/>
      <c r="K221" s="154"/>
      <c r="L221" s="154"/>
      <c r="M221" s="154"/>
    </row>
    <row r="222">
      <c r="A222" s="154"/>
      <c r="B222" s="154"/>
      <c r="C222" s="155"/>
      <c r="D222" s="156"/>
      <c r="E222" s="155"/>
      <c r="F222" s="155"/>
      <c r="G222" s="155"/>
      <c r="H222" s="157"/>
      <c r="I222" s="154"/>
      <c r="J222" s="154"/>
      <c r="K222" s="154"/>
      <c r="L222" s="154"/>
      <c r="M222" s="154"/>
    </row>
    <row r="223">
      <c r="A223" s="154"/>
      <c r="B223" s="154"/>
      <c r="C223" s="155"/>
      <c r="D223" s="156"/>
      <c r="E223" s="155"/>
      <c r="F223" s="155"/>
      <c r="G223" s="155"/>
      <c r="H223" s="157"/>
      <c r="I223" s="154"/>
      <c r="J223" s="154"/>
      <c r="K223" s="154"/>
      <c r="L223" s="154"/>
      <c r="M223" s="154"/>
    </row>
    <row r="224">
      <c r="A224" s="154"/>
      <c r="B224" s="154"/>
      <c r="C224" s="155"/>
      <c r="D224" s="156"/>
      <c r="E224" s="155"/>
      <c r="F224" s="155"/>
      <c r="G224" s="155"/>
      <c r="H224" s="157"/>
      <c r="I224" s="154"/>
      <c r="J224" s="154"/>
      <c r="K224" s="154"/>
      <c r="L224" s="154"/>
      <c r="M224" s="154"/>
    </row>
    <row r="225">
      <c r="A225" s="154"/>
      <c r="B225" s="154"/>
      <c r="C225" s="155"/>
      <c r="D225" s="156"/>
      <c r="E225" s="155"/>
      <c r="F225" s="155"/>
      <c r="G225" s="155"/>
      <c r="H225" s="157"/>
      <c r="I225" s="154"/>
      <c r="J225" s="154"/>
      <c r="K225" s="154"/>
      <c r="L225" s="154"/>
      <c r="M225" s="154"/>
    </row>
    <row r="226">
      <c r="A226" s="154"/>
      <c r="B226" s="154"/>
      <c r="C226" s="155"/>
      <c r="D226" s="156"/>
      <c r="E226" s="155"/>
      <c r="F226" s="155"/>
      <c r="G226" s="155"/>
      <c r="H226" s="157"/>
      <c r="I226" s="154"/>
      <c r="J226" s="154"/>
      <c r="K226" s="154"/>
      <c r="L226" s="154"/>
      <c r="M226" s="154"/>
    </row>
    <row r="227">
      <c r="A227" s="154"/>
      <c r="B227" s="154"/>
      <c r="C227" s="155"/>
      <c r="D227" s="156"/>
      <c r="E227" s="155"/>
      <c r="F227" s="155"/>
      <c r="G227" s="155"/>
      <c r="H227" s="157"/>
      <c r="I227" s="154"/>
      <c r="J227" s="154"/>
      <c r="K227" s="154"/>
      <c r="L227" s="154"/>
      <c r="M227" s="154"/>
    </row>
    <row r="228">
      <c r="A228" s="154"/>
      <c r="B228" s="154"/>
      <c r="C228" s="155"/>
      <c r="D228" s="156"/>
      <c r="E228" s="155"/>
      <c r="F228" s="155"/>
      <c r="G228" s="155"/>
      <c r="H228" s="157"/>
      <c r="I228" s="154"/>
      <c r="J228" s="154"/>
      <c r="K228" s="154"/>
      <c r="L228" s="154"/>
      <c r="M228" s="154"/>
    </row>
    <row r="229">
      <c r="A229" s="154"/>
      <c r="B229" s="154"/>
      <c r="C229" s="155"/>
      <c r="D229" s="156"/>
      <c r="E229" s="155"/>
      <c r="F229" s="155"/>
      <c r="G229" s="155"/>
      <c r="H229" s="157"/>
      <c r="I229" s="154"/>
      <c r="J229" s="154"/>
      <c r="K229" s="154"/>
      <c r="L229" s="154"/>
      <c r="M229" s="154"/>
    </row>
    <row r="230">
      <c r="A230" s="154"/>
      <c r="B230" s="154"/>
      <c r="C230" s="155"/>
      <c r="D230" s="156"/>
      <c r="E230" s="155"/>
      <c r="F230" s="155"/>
      <c r="G230" s="155"/>
      <c r="H230" s="157"/>
      <c r="I230" s="154"/>
      <c r="J230" s="154"/>
      <c r="K230" s="154"/>
      <c r="L230" s="154"/>
      <c r="M230" s="154"/>
    </row>
    <row r="231">
      <c r="A231" s="154"/>
      <c r="B231" s="154"/>
      <c r="C231" s="155"/>
      <c r="D231" s="156"/>
      <c r="E231" s="155"/>
      <c r="F231" s="155"/>
      <c r="G231" s="155"/>
      <c r="H231" s="157"/>
      <c r="I231" s="154"/>
      <c r="J231" s="154"/>
      <c r="K231" s="154"/>
      <c r="L231" s="154"/>
      <c r="M231" s="154"/>
    </row>
    <row r="232">
      <c r="A232" s="154"/>
      <c r="B232" s="154"/>
      <c r="C232" s="155"/>
      <c r="D232" s="156"/>
      <c r="E232" s="155"/>
      <c r="F232" s="155"/>
      <c r="G232" s="155"/>
      <c r="H232" s="157"/>
      <c r="I232" s="154"/>
      <c r="J232" s="154"/>
      <c r="K232" s="154"/>
      <c r="L232" s="154"/>
      <c r="M232" s="154"/>
    </row>
    <row r="233">
      <c r="A233" s="154"/>
      <c r="B233" s="154"/>
      <c r="C233" s="155"/>
      <c r="D233" s="156"/>
      <c r="E233" s="155"/>
      <c r="F233" s="155"/>
      <c r="G233" s="155"/>
      <c r="H233" s="157"/>
      <c r="I233" s="154"/>
      <c r="J233" s="154"/>
      <c r="K233" s="154"/>
      <c r="L233" s="154"/>
      <c r="M233" s="154"/>
    </row>
    <row r="234">
      <c r="A234" s="154"/>
      <c r="B234" s="154"/>
      <c r="C234" s="155"/>
      <c r="D234" s="156"/>
      <c r="E234" s="155"/>
      <c r="F234" s="155"/>
      <c r="G234" s="155"/>
      <c r="H234" s="157"/>
      <c r="I234" s="154"/>
      <c r="J234" s="154"/>
      <c r="K234" s="154"/>
      <c r="L234" s="154"/>
      <c r="M234" s="154"/>
    </row>
    <row r="235">
      <c r="A235" s="154"/>
      <c r="B235" s="154"/>
      <c r="C235" s="155"/>
      <c r="D235" s="156"/>
      <c r="E235" s="155"/>
      <c r="F235" s="155"/>
      <c r="G235" s="155"/>
      <c r="H235" s="157"/>
      <c r="I235" s="154"/>
      <c r="J235" s="154"/>
      <c r="K235" s="154"/>
      <c r="L235" s="154"/>
      <c r="M235" s="154"/>
    </row>
    <row r="236">
      <c r="A236" s="154"/>
      <c r="B236" s="154"/>
      <c r="C236" s="155"/>
      <c r="D236" s="156"/>
      <c r="E236" s="155"/>
      <c r="F236" s="155"/>
      <c r="G236" s="155"/>
      <c r="H236" s="157"/>
      <c r="I236" s="154"/>
      <c r="J236" s="154"/>
      <c r="K236" s="154"/>
      <c r="L236" s="154"/>
      <c r="M236" s="154"/>
    </row>
    <row r="237">
      <c r="A237" s="154"/>
      <c r="B237" s="154"/>
      <c r="C237" s="155"/>
      <c r="D237" s="156"/>
      <c r="E237" s="155"/>
      <c r="F237" s="155"/>
      <c r="G237" s="155"/>
      <c r="H237" s="157"/>
      <c r="I237" s="154"/>
      <c r="J237" s="154"/>
      <c r="K237" s="154"/>
      <c r="L237" s="154"/>
      <c r="M237" s="154"/>
    </row>
    <row r="238">
      <c r="A238" s="154"/>
      <c r="B238" s="154"/>
      <c r="C238" s="155"/>
      <c r="D238" s="156"/>
      <c r="E238" s="155"/>
      <c r="F238" s="155"/>
      <c r="G238" s="155"/>
      <c r="H238" s="157"/>
      <c r="I238" s="154"/>
      <c r="J238" s="154"/>
      <c r="K238" s="154"/>
      <c r="L238" s="154"/>
      <c r="M238" s="154"/>
    </row>
    <row r="239">
      <c r="A239" s="154"/>
      <c r="B239" s="154"/>
      <c r="C239" s="155"/>
      <c r="D239" s="156"/>
      <c r="E239" s="155"/>
      <c r="F239" s="155"/>
      <c r="G239" s="155"/>
      <c r="H239" s="157"/>
      <c r="I239" s="154"/>
      <c r="J239" s="154"/>
      <c r="K239" s="154"/>
      <c r="L239" s="154"/>
      <c r="M239" s="154"/>
    </row>
    <row r="240">
      <c r="A240" s="154"/>
      <c r="B240" s="154"/>
      <c r="C240" s="155"/>
      <c r="D240" s="156"/>
      <c r="E240" s="155"/>
      <c r="F240" s="155"/>
      <c r="G240" s="155"/>
      <c r="H240" s="157"/>
      <c r="I240" s="154"/>
      <c r="J240" s="154"/>
      <c r="K240" s="154"/>
      <c r="L240" s="154"/>
      <c r="M240" s="154"/>
    </row>
    <row r="241">
      <c r="A241" s="154"/>
      <c r="B241" s="154"/>
      <c r="C241" s="155"/>
      <c r="D241" s="156"/>
      <c r="E241" s="155"/>
      <c r="F241" s="155"/>
      <c r="G241" s="155"/>
      <c r="H241" s="157"/>
      <c r="I241" s="154"/>
      <c r="J241" s="154"/>
      <c r="K241" s="154"/>
      <c r="L241" s="154"/>
      <c r="M241" s="154"/>
    </row>
    <row r="242">
      <c r="A242" s="154"/>
      <c r="B242" s="154"/>
      <c r="C242" s="155"/>
      <c r="D242" s="156"/>
      <c r="E242" s="155"/>
      <c r="F242" s="155"/>
      <c r="G242" s="155"/>
      <c r="H242" s="157"/>
      <c r="I242" s="154"/>
      <c r="J242" s="154"/>
      <c r="K242" s="154"/>
      <c r="L242" s="154"/>
      <c r="M242" s="154"/>
    </row>
    <row r="243">
      <c r="A243" s="154"/>
      <c r="B243" s="154"/>
      <c r="C243" s="155"/>
      <c r="D243" s="156"/>
      <c r="E243" s="155"/>
      <c r="F243" s="155"/>
      <c r="G243" s="155"/>
      <c r="H243" s="157"/>
      <c r="I243" s="154"/>
      <c r="J243" s="154"/>
      <c r="K243" s="154"/>
      <c r="L243" s="154"/>
      <c r="M243" s="154"/>
    </row>
    <row r="244">
      <c r="A244" s="154"/>
      <c r="B244" s="154"/>
      <c r="C244" s="155"/>
      <c r="D244" s="156"/>
      <c r="E244" s="155"/>
      <c r="F244" s="155"/>
      <c r="G244" s="155"/>
      <c r="H244" s="157"/>
      <c r="I244" s="154"/>
      <c r="J244" s="154"/>
      <c r="K244" s="154"/>
      <c r="L244" s="154"/>
      <c r="M244" s="154"/>
    </row>
    <row r="245">
      <c r="A245" s="154"/>
      <c r="B245" s="154"/>
      <c r="C245" s="155"/>
      <c r="D245" s="156"/>
      <c r="E245" s="155"/>
      <c r="F245" s="155"/>
      <c r="G245" s="155"/>
      <c r="H245" s="157"/>
      <c r="I245" s="154"/>
      <c r="J245" s="154"/>
      <c r="K245" s="154"/>
      <c r="L245" s="154"/>
      <c r="M245" s="154"/>
    </row>
    <row r="246">
      <c r="A246" s="154"/>
      <c r="B246" s="154"/>
      <c r="C246" s="155"/>
      <c r="D246" s="156"/>
      <c r="E246" s="155"/>
      <c r="F246" s="155"/>
      <c r="G246" s="155"/>
      <c r="H246" s="157"/>
      <c r="I246" s="154"/>
      <c r="J246" s="154"/>
      <c r="K246" s="154"/>
      <c r="L246" s="154"/>
      <c r="M246" s="154"/>
    </row>
    <row r="247">
      <c r="A247" s="154"/>
      <c r="B247" s="154"/>
      <c r="C247" s="155"/>
      <c r="D247" s="156"/>
      <c r="E247" s="155"/>
      <c r="F247" s="155"/>
      <c r="G247" s="155"/>
      <c r="H247" s="157"/>
      <c r="I247" s="154"/>
      <c r="J247" s="154"/>
      <c r="K247" s="154"/>
      <c r="L247" s="154"/>
      <c r="M247" s="154"/>
    </row>
    <row r="248">
      <c r="A248" s="154"/>
      <c r="B248" s="154"/>
      <c r="C248" s="155"/>
      <c r="D248" s="156"/>
      <c r="E248" s="155"/>
      <c r="F248" s="155"/>
      <c r="G248" s="155"/>
      <c r="H248" s="157"/>
      <c r="I248" s="154"/>
      <c r="J248" s="154"/>
      <c r="K248" s="154"/>
      <c r="L248" s="154"/>
      <c r="M248" s="154"/>
    </row>
    <row r="249">
      <c r="A249" s="154"/>
      <c r="B249" s="154"/>
      <c r="C249" s="155"/>
      <c r="D249" s="156"/>
      <c r="E249" s="155"/>
      <c r="F249" s="155"/>
      <c r="G249" s="155"/>
      <c r="H249" s="157"/>
      <c r="I249" s="154"/>
      <c r="J249" s="154"/>
      <c r="K249" s="154"/>
      <c r="L249" s="154"/>
      <c r="M249" s="154"/>
    </row>
    <row r="250">
      <c r="A250" s="154"/>
      <c r="B250" s="154"/>
      <c r="C250" s="155"/>
      <c r="D250" s="156"/>
      <c r="E250" s="155"/>
      <c r="F250" s="155"/>
      <c r="G250" s="155"/>
      <c r="H250" s="157"/>
      <c r="I250" s="154"/>
      <c r="J250" s="154"/>
      <c r="K250" s="154"/>
      <c r="L250" s="154"/>
      <c r="M250" s="154"/>
    </row>
    <row r="251">
      <c r="A251" s="154"/>
      <c r="B251" s="154"/>
      <c r="C251" s="155"/>
      <c r="D251" s="156"/>
      <c r="E251" s="155"/>
      <c r="F251" s="155"/>
      <c r="G251" s="155"/>
      <c r="H251" s="157"/>
      <c r="I251" s="154"/>
      <c r="J251" s="154"/>
      <c r="K251" s="154"/>
      <c r="L251" s="154"/>
      <c r="M251" s="154"/>
    </row>
    <row r="252">
      <c r="A252" s="154"/>
      <c r="B252" s="154"/>
      <c r="C252" s="155"/>
      <c r="D252" s="156"/>
      <c r="E252" s="155"/>
      <c r="F252" s="155"/>
      <c r="G252" s="155"/>
      <c r="H252" s="157"/>
      <c r="I252" s="154"/>
      <c r="J252" s="154"/>
      <c r="K252" s="154"/>
      <c r="L252" s="154"/>
      <c r="M252" s="154"/>
    </row>
    <row r="253">
      <c r="A253" s="154"/>
      <c r="B253" s="154"/>
      <c r="C253" s="155"/>
      <c r="D253" s="156"/>
      <c r="E253" s="155"/>
      <c r="F253" s="155"/>
      <c r="G253" s="155"/>
      <c r="H253" s="157"/>
      <c r="I253" s="154"/>
      <c r="J253" s="154"/>
      <c r="K253" s="154"/>
      <c r="L253" s="154"/>
      <c r="M253" s="154"/>
    </row>
    <row r="254">
      <c r="A254" s="154"/>
      <c r="B254" s="154"/>
      <c r="C254" s="155"/>
      <c r="D254" s="156"/>
      <c r="E254" s="155"/>
      <c r="F254" s="155"/>
      <c r="G254" s="155"/>
      <c r="H254" s="157"/>
      <c r="I254" s="154"/>
      <c r="J254" s="154"/>
      <c r="K254" s="154"/>
      <c r="L254" s="154"/>
      <c r="M254" s="154"/>
    </row>
    <row r="255">
      <c r="A255" s="154"/>
      <c r="B255" s="154"/>
      <c r="C255" s="155"/>
      <c r="D255" s="156"/>
      <c r="E255" s="155"/>
      <c r="F255" s="155"/>
      <c r="G255" s="155"/>
      <c r="H255" s="157"/>
      <c r="I255" s="154"/>
      <c r="J255" s="154"/>
      <c r="K255" s="154"/>
      <c r="L255" s="154"/>
      <c r="M255" s="154"/>
    </row>
    <row r="256">
      <c r="A256" s="154"/>
      <c r="B256" s="154"/>
      <c r="C256" s="155"/>
      <c r="D256" s="156"/>
      <c r="E256" s="155"/>
      <c r="F256" s="155"/>
      <c r="G256" s="155"/>
      <c r="H256" s="157"/>
      <c r="I256" s="154"/>
      <c r="J256" s="154"/>
      <c r="K256" s="154"/>
      <c r="L256" s="154"/>
      <c r="M256" s="154"/>
    </row>
    <row r="257">
      <c r="A257" s="154"/>
      <c r="B257" s="154"/>
      <c r="C257" s="155"/>
      <c r="D257" s="156"/>
      <c r="E257" s="155"/>
      <c r="F257" s="155"/>
      <c r="G257" s="155"/>
      <c r="H257" s="157"/>
      <c r="I257" s="154"/>
      <c r="J257" s="154"/>
      <c r="K257" s="154"/>
      <c r="L257" s="154"/>
      <c r="M257" s="154"/>
    </row>
    <row r="258">
      <c r="A258" s="154"/>
      <c r="B258" s="154"/>
      <c r="C258" s="155"/>
      <c r="D258" s="156"/>
      <c r="E258" s="155"/>
      <c r="F258" s="155"/>
      <c r="G258" s="155"/>
      <c r="H258" s="157"/>
      <c r="I258" s="154"/>
      <c r="J258" s="154"/>
      <c r="K258" s="154"/>
      <c r="L258" s="154"/>
      <c r="M258" s="154"/>
    </row>
    <row r="259">
      <c r="A259" s="154"/>
      <c r="B259" s="154"/>
      <c r="C259" s="155"/>
      <c r="D259" s="156"/>
      <c r="E259" s="155"/>
      <c r="F259" s="155"/>
      <c r="G259" s="155"/>
      <c r="H259" s="157"/>
      <c r="I259" s="154"/>
      <c r="J259" s="154"/>
      <c r="K259" s="154"/>
      <c r="L259" s="154"/>
      <c r="M259" s="154"/>
    </row>
    <row r="260">
      <c r="A260" s="154"/>
      <c r="B260" s="154"/>
      <c r="C260" s="155"/>
      <c r="D260" s="156"/>
      <c r="E260" s="155"/>
      <c r="F260" s="155"/>
      <c r="G260" s="155"/>
      <c r="H260" s="157"/>
      <c r="I260" s="154"/>
      <c r="J260" s="154"/>
      <c r="K260" s="154"/>
      <c r="L260" s="154"/>
      <c r="M260" s="154"/>
    </row>
    <row r="261">
      <c r="A261" s="154"/>
      <c r="B261" s="154"/>
      <c r="C261" s="155"/>
      <c r="D261" s="156"/>
      <c r="E261" s="155"/>
      <c r="F261" s="155"/>
      <c r="G261" s="155"/>
      <c r="H261" s="157"/>
      <c r="I261" s="154"/>
      <c r="J261" s="154"/>
      <c r="K261" s="154"/>
      <c r="L261" s="154"/>
      <c r="M261" s="154"/>
    </row>
    <row r="262">
      <c r="A262" s="154"/>
      <c r="B262" s="154"/>
      <c r="C262" s="155"/>
      <c r="D262" s="156"/>
      <c r="E262" s="155"/>
      <c r="F262" s="155"/>
      <c r="G262" s="155"/>
      <c r="H262" s="157"/>
      <c r="I262" s="154"/>
      <c r="J262" s="154"/>
      <c r="K262" s="154"/>
      <c r="L262" s="154"/>
      <c r="M262" s="154"/>
    </row>
    <row r="263">
      <c r="A263" s="154"/>
      <c r="B263" s="154"/>
      <c r="C263" s="155"/>
      <c r="D263" s="156"/>
      <c r="E263" s="155"/>
      <c r="F263" s="155"/>
      <c r="G263" s="155"/>
      <c r="H263" s="157"/>
      <c r="I263" s="154"/>
      <c r="J263" s="154"/>
      <c r="K263" s="154"/>
      <c r="L263" s="154"/>
      <c r="M263" s="154"/>
    </row>
    <row r="264">
      <c r="A264" s="154"/>
      <c r="B264" s="154"/>
      <c r="C264" s="155"/>
      <c r="D264" s="156"/>
      <c r="E264" s="155"/>
      <c r="F264" s="155"/>
      <c r="G264" s="155"/>
      <c r="H264" s="157"/>
      <c r="I264" s="154"/>
      <c r="J264" s="154"/>
      <c r="K264" s="154"/>
      <c r="L264" s="154"/>
      <c r="M264" s="154"/>
    </row>
    <row r="265">
      <c r="A265" s="154"/>
      <c r="B265" s="154"/>
      <c r="C265" s="155"/>
      <c r="D265" s="156"/>
      <c r="E265" s="155"/>
      <c r="F265" s="155"/>
      <c r="G265" s="155"/>
      <c r="H265" s="157"/>
      <c r="I265" s="154"/>
      <c r="J265" s="154"/>
      <c r="K265" s="154"/>
      <c r="L265" s="154"/>
      <c r="M265" s="154"/>
    </row>
    <row r="266">
      <c r="A266" s="154"/>
      <c r="B266" s="154"/>
      <c r="C266" s="155"/>
      <c r="D266" s="156"/>
      <c r="E266" s="155"/>
      <c r="F266" s="155"/>
      <c r="G266" s="155"/>
      <c r="H266" s="157"/>
      <c r="I266" s="154"/>
      <c r="J266" s="154"/>
      <c r="K266" s="154"/>
      <c r="L266" s="154"/>
      <c r="M266" s="154"/>
    </row>
    <row r="267">
      <c r="A267" s="154"/>
      <c r="B267" s="154"/>
      <c r="C267" s="155"/>
      <c r="D267" s="156"/>
      <c r="E267" s="155"/>
      <c r="F267" s="155"/>
      <c r="G267" s="155"/>
      <c r="H267" s="157"/>
      <c r="I267" s="154"/>
      <c r="J267" s="154"/>
      <c r="K267" s="154"/>
      <c r="L267" s="154"/>
      <c r="M267" s="154"/>
    </row>
    <row r="268">
      <c r="A268" s="154"/>
      <c r="B268" s="154"/>
      <c r="C268" s="155"/>
      <c r="D268" s="156"/>
      <c r="E268" s="155"/>
      <c r="F268" s="155"/>
      <c r="G268" s="155"/>
      <c r="H268" s="157"/>
      <c r="I268" s="154"/>
      <c r="J268" s="154"/>
      <c r="K268" s="154"/>
      <c r="L268" s="154"/>
      <c r="M268" s="154"/>
    </row>
    <row r="269">
      <c r="A269" s="154"/>
      <c r="B269" s="154"/>
      <c r="C269" s="155"/>
      <c r="D269" s="156"/>
      <c r="E269" s="155"/>
      <c r="F269" s="155"/>
      <c r="G269" s="155"/>
      <c r="H269" s="157"/>
      <c r="I269" s="154"/>
      <c r="J269" s="154"/>
      <c r="K269" s="154"/>
      <c r="L269" s="154"/>
      <c r="M269" s="154"/>
    </row>
    <row r="270">
      <c r="A270" s="154"/>
      <c r="B270" s="154"/>
      <c r="C270" s="155"/>
      <c r="D270" s="156"/>
      <c r="E270" s="155"/>
      <c r="F270" s="155"/>
      <c r="G270" s="155"/>
      <c r="H270" s="157"/>
      <c r="I270" s="154"/>
      <c r="J270" s="154"/>
      <c r="K270" s="154"/>
      <c r="L270" s="154"/>
      <c r="M270" s="154"/>
    </row>
    <row r="271">
      <c r="A271" s="154"/>
      <c r="B271" s="154"/>
      <c r="C271" s="155"/>
      <c r="D271" s="156"/>
      <c r="E271" s="155"/>
      <c r="F271" s="155"/>
      <c r="G271" s="155"/>
      <c r="H271" s="157"/>
      <c r="I271" s="154"/>
      <c r="J271" s="154"/>
      <c r="K271" s="154"/>
      <c r="L271" s="154"/>
      <c r="M271" s="154"/>
    </row>
    <row r="272">
      <c r="A272" s="154"/>
      <c r="B272" s="154"/>
      <c r="C272" s="155"/>
      <c r="D272" s="156"/>
      <c r="E272" s="155"/>
      <c r="F272" s="155"/>
      <c r="G272" s="155"/>
      <c r="H272" s="157"/>
      <c r="I272" s="154"/>
      <c r="J272" s="154"/>
      <c r="K272" s="154"/>
      <c r="L272" s="154"/>
      <c r="M272" s="154"/>
    </row>
    <row r="273">
      <c r="A273" s="154"/>
      <c r="B273" s="154"/>
      <c r="C273" s="155"/>
      <c r="D273" s="156"/>
      <c r="E273" s="155"/>
      <c r="F273" s="155"/>
      <c r="G273" s="155"/>
      <c r="H273" s="157"/>
      <c r="I273" s="154"/>
      <c r="J273" s="154"/>
      <c r="K273" s="154"/>
      <c r="L273" s="154"/>
      <c r="M273" s="154"/>
    </row>
    <row r="274">
      <c r="A274" s="154"/>
      <c r="B274" s="154"/>
      <c r="C274" s="155"/>
      <c r="D274" s="156"/>
      <c r="E274" s="155"/>
      <c r="F274" s="155"/>
      <c r="G274" s="155"/>
      <c r="H274" s="157"/>
      <c r="I274" s="154"/>
      <c r="J274" s="154"/>
      <c r="K274" s="154"/>
      <c r="L274" s="154"/>
      <c r="M274" s="154"/>
    </row>
    <row r="275">
      <c r="A275" s="154"/>
      <c r="B275" s="154"/>
      <c r="C275" s="155"/>
      <c r="D275" s="156"/>
      <c r="E275" s="155"/>
      <c r="F275" s="155"/>
      <c r="G275" s="155"/>
      <c r="H275" s="157"/>
      <c r="I275" s="154"/>
      <c r="J275" s="154"/>
      <c r="K275" s="154"/>
      <c r="L275" s="154"/>
      <c r="M275" s="154"/>
    </row>
    <row r="276">
      <c r="A276" s="154"/>
      <c r="B276" s="154"/>
      <c r="C276" s="155"/>
      <c r="D276" s="156"/>
      <c r="E276" s="155"/>
      <c r="F276" s="155"/>
      <c r="G276" s="155"/>
      <c r="H276" s="157"/>
      <c r="I276" s="154"/>
      <c r="J276" s="154"/>
      <c r="K276" s="154"/>
      <c r="L276" s="154"/>
      <c r="M276" s="154"/>
    </row>
    <row r="277">
      <c r="A277" s="154"/>
      <c r="B277" s="154"/>
      <c r="C277" s="155"/>
      <c r="D277" s="156"/>
      <c r="E277" s="155"/>
      <c r="F277" s="155"/>
      <c r="G277" s="155"/>
      <c r="H277" s="157"/>
      <c r="I277" s="154"/>
      <c r="J277" s="154"/>
      <c r="K277" s="154"/>
      <c r="L277" s="154"/>
      <c r="M277" s="154"/>
    </row>
    <row r="278">
      <c r="A278" s="154"/>
      <c r="B278" s="154"/>
      <c r="C278" s="155"/>
      <c r="D278" s="156"/>
      <c r="E278" s="155"/>
      <c r="F278" s="155"/>
      <c r="G278" s="155"/>
      <c r="H278" s="157"/>
      <c r="I278" s="154"/>
      <c r="J278" s="154"/>
      <c r="K278" s="154"/>
      <c r="L278" s="154"/>
      <c r="M278" s="154"/>
    </row>
    <row r="279">
      <c r="A279" s="154"/>
      <c r="B279" s="154"/>
      <c r="C279" s="155"/>
      <c r="D279" s="156"/>
      <c r="E279" s="155"/>
      <c r="F279" s="155"/>
      <c r="G279" s="155"/>
      <c r="H279" s="157"/>
      <c r="I279" s="154"/>
      <c r="J279" s="154"/>
      <c r="K279" s="154"/>
      <c r="L279" s="154"/>
      <c r="M279" s="154"/>
    </row>
    <row r="280">
      <c r="A280" s="154"/>
      <c r="B280" s="154"/>
      <c r="C280" s="155"/>
      <c r="D280" s="156"/>
      <c r="E280" s="155"/>
      <c r="F280" s="155"/>
      <c r="G280" s="155"/>
      <c r="H280" s="157"/>
      <c r="I280" s="154"/>
      <c r="J280" s="154"/>
      <c r="K280" s="154"/>
      <c r="L280" s="154"/>
      <c r="M280" s="154"/>
    </row>
    <row r="281">
      <c r="A281" s="154"/>
      <c r="B281" s="154"/>
      <c r="C281" s="155"/>
      <c r="D281" s="156"/>
      <c r="E281" s="155"/>
      <c r="F281" s="155"/>
      <c r="G281" s="155"/>
      <c r="H281" s="157"/>
      <c r="I281" s="154"/>
      <c r="J281" s="154"/>
      <c r="K281" s="154"/>
      <c r="L281" s="154"/>
      <c r="M281" s="154"/>
    </row>
    <row r="282">
      <c r="A282" s="154"/>
      <c r="B282" s="154"/>
      <c r="C282" s="155"/>
      <c r="D282" s="156"/>
      <c r="E282" s="155"/>
      <c r="F282" s="155"/>
      <c r="G282" s="155"/>
      <c r="H282" s="157"/>
      <c r="I282" s="154"/>
      <c r="J282" s="154"/>
      <c r="K282" s="154"/>
      <c r="L282" s="154"/>
      <c r="M282" s="154"/>
    </row>
    <row r="283">
      <c r="A283" s="154"/>
      <c r="B283" s="154"/>
      <c r="C283" s="155"/>
      <c r="D283" s="156"/>
      <c r="E283" s="155"/>
      <c r="F283" s="155"/>
      <c r="G283" s="155"/>
      <c r="H283" s="157"/>
      <c r="I283" s="154"/>
      <c r="J283" s="154"/>
      <c r="K283" s="154"/>
      <c r="L283" s="154"/>
      <c r="M283" s="154"/>
    </row>
    <row r="284">
      <c r="A284" s="154"/>
      <c r="B284" s="154"/>
      <c r="C284" s="155"/>
      <c r="D284" s="156"/>
      <c r="E284" s="155"/>
      <c r="F284" s="155"/>
      <c r="G284" s="155"/>
      <c r="H284" s="157"/>
      <c r="I284" s="154"/>
      <c r="J284" s="154"/>
      <c r="K284" s="154"/>
      <c r="L284" s="154"/>
      <c r="M284" s="154"/>
    </row>
    <row r="285">
      <c r="A285" s="154"/>
      <c r="B285" s="154"/>
      <c r="C285" s="155"/>
      <c r="D285" s="156"/>
      <c r="E285" s="155"/>
      <c r="F285" s="155"/>
      <c r="G285" s="155"/>
      <c r="H285" s="157"/>
      <c r="I285" s="154"/>
      <c r="J285" s="154"/>
      <c r="K285" s="154"/>
      <c r="L285" s="154"/>
      <c r="M285" s="154"/>
    </row>
    <row r="286">
      <c r="A286" s="154"/>
      <c r="B286" s="154"/>
      <c r="C286" s="155"/>
      <c r="D286" s="156"/>
      <c r="E286" s="155"/>
      <c r="F286" s="155"/>
      <c r="G286" s="155"/>
      <c r="H286" s="157"/>
      <c r="I286" s="154"/>
      <c r="J286" s="154"/>
      <c r="K286" s="154"/>
      <c r="L286" s="154"/>
      <c r="M286" s="154"/>
    </row>
    <row r="287">
      <c r="A287" s="154"/>
      <c r="B287" s="154"/>
      <c r="C287" s="155"/>
      <c r="D287" s="156"/>
      <c r="E287" s="155"/>
      <c r="F287" s="155"/>
      <c r="G287" s="155"/>
      <c r="H287" s="157"/>
      <c r="I287" s="154"/>
      <c r="J287" s="154"/>
      <c r="K287" s="154"/>
      <c r="L287" s="154"/>
      <c r="M287" s="154"/>
    </row>
    <row r="288">
      <c r="A288" s="154"/>
      <c r="B288" s="154"/>
      <c r="C288" s="155"/>
      <c r="D288" s="156"/>
      <c r="E288" s="155"/>
      <c r="F288" s="155"/>
      <c r="G288" s="155"/>
      <c r="H288" s="157"/>
      <c r="I288" s="154"/>
      <c r="J288" s="154"/>
      <c r="K288" s="154"/>
      <c r="L288" s="154"/>
      <c r="M288" s="154"/>
    </row>
    <row r="289">
      <c r="A289" s="154"/>
      <c r="B289" s="154"/>
      <c r="C289" s="155"/>
      <c r="D289" s="156"/>
      <c r="E289" s="155"/>
      <c r="F289" s="155"/>
      <c r="G289" s="155"/>
      <c r="H289" s="157"/>
      <c r="I289" s="154"/>
      <c r="J289" s="154"/>
      <c r="K289" s="154"/>
      <c r="L289" s="154"/>
      <c r="M289" s="154"/>
    </row>
    <row r="290">
      <c r="A290" s="154"/>
      <c r="B290" s="154"/>
      <c r="C290" s="155"/>
      <c r="D290" s="156"/>
      <c r="E290" s="155"/>
      <c r="F290" s="155"/>
      <c r="G290" s="155"/>
      <c r="H290" s="157"/>
      <c r="I290" s="154"/>
      <c r="J290" s="154"/>
      <c r="K290" s="154"/>
      <c r="L290" s="154"/>
      <c r="M290" s="154"/>
    </row>
    <row r="291">
      <c r="A291" s="154"/>
      <c r="B291" s="154"/>
      <c r="C291" s="155"/>
      <c r="D291" s="156"/>
      <c r="E291" s="155"/>
      <c r="F291" s="155"/>
      <c r="G291" s="155"/>
      <c r="H291" s="157"/>
      <c r="I291" s="154"/>
      <c r="J291" s="154"/>
      <c r="K291" s="154"/>
      <c r="L291" s="154"/>
      <c r="M291" s="154"/>
    </row>
    <row r="292">
      <c r="A292" s="154"/>
      <c r="B292" s="154"/>
      <c r="C292" s="155"/>
      <c r="D292" s="156"/>
      <c r="E292" s="155"/>
      <c r="F292" s="155"/>
      <c r="G292" s="155"/>
      <c r="H292" s="157"/>
      <c r="I292" s="154"/>
      <c r="J292" s="154"/>
      <c r="K292" s="154"/>
      <c r="L292" s="154"/>
      <c r="M292" s="154"/>
    </row>
    <row r="293">
      <c r="A293" s="154"/>
      <c r="B293" s="154"/>
      <c r="C293" s="155"/>
      <c r="D293" s="156"/>
      <c r="E293" s="155"/>
      <c r="F293" s="155"/>
      <c r="G293" s="155"/>
      <c r="H293" s="157"/>
      <c r="I293" s="154"/>
      <c r="J293" s="154"/>
      <c r="K293" s="154"/>
      <c r="L293" s="154"/>
      <c r="M293" s="154"/>
    </row>
    <row r="294">
      <c r="A294" s="154"/>
      <c r="B294" s="154"/>
      <c r="C294" s="155"/>
      <c r="D294" s="156"/>
      <c r="E294" s="155"/>
      <c r="F294" s="155"/>
      <c r="G294" s="155"/>
      <c r="H294" s="157"/>
      <c r="I294" s="154"/>
      <c r="J294" s="154"/>
      <c r="K294" s="154"/>
      <c r="L294" s="154"/>
      <c r="M294" s="154"/>
    </row>
    <row r="295">
      <c r="A295" s="154"/>
      <c r="B295" s="154"/>
      <c r="C295" s="155"/>
      <c r="D295" s="156"/>
      <c r="E295" s="155"/>
      <c r="F295" s="155"/>
      <c r="G295" s="155"/>
      <c r="H295" s="157"/>
      <c r="I295" s="154"/>
      <c r="J295" s="154"/>
      <c r="K295" s="154"/>
      <c r="L295" s="154"/>
      <c r="M295" s="154"/>
    </row>
    <row r="296">
      <c r="A296" s="154"/>
      <c r="B296" s="154"/>
      <c r="C296" s="155"/>
      <c r="D296" s="156"/>
      <c r="E296" s="155"/>
      <c r="F296" s="155"/>
      <c r="G296" s="155"/>
      <c r="H296" s="157"/>
      <c r="I296" s="154"/>
      <c r="J296" s="154"/>
      <c r="K296" s="154"/>
      <c r="L296" s="154"/>
      <c r="M296" s="154"/>
    </row>
    <row r="297">
      <c r="A297" s="154"/>
      <c r="B297" s="154"/>
      <c r="C297" s="155"/>
      <c r="D297" s="156"/>
      <c r="E297" s="155"/>
      <c r="F297" s="155"/>
      <c r="G297" s="155"/>
      <c r="H297" s="157"/>
      <c r="I297" s="154"/>
      <c r="J297" s="154"/>
      <c r="K297" s="154"/>
      <c r="L297" s="154"/>
      <c r="M297" s="154"/>
    </row>
    <row r="298">
      <c r="A298" s="154"/>
      <c r="B298" s="154"/>
      <c r="C298" s="155"/>
      <c r="D298" s="156"/>
      <c r="E298" s="155"/>
      <c r="F298" s="155"/>
      <c r="G298" s="155"/>
      <c r="H298" s="157"/>
      <c r="I298" s="154"/>
      <c r="J298" s="154"/>
      <c r="K298" s="154"/>
      <c r="L298" s="154"/>
      <c r="M298" s="154"/>
    </row>
    <row r="299">
      <c r="A299" s="154"/>
      <c r="B299" s="154"/>
      <c r="C299" s="155"/>
      <c r="D299" s="156"/>
      <c r="E299" s="155"/>
      <c r="F299" s="155"/>
      <c r="G299" s="155"/>
      <c r="H299" s="157"/>
      <c r="I299" s="154"/>
      <c r="J299" s="154"/>
      <c r="K299" s="154"/>
      <c r="L299" s="154"/>
      <c r="M299" s="154"/>
    </row>
    <row r="300">
      <c r="A300" s="154"/>
      <c r="B300" s="154"/>
      <c r="C300" s="155"/>
      <c r="D300" s="156"/>
      <c r="E300" s="155"/>
      <c r="F300" s="155"/>
      <c r="G300" s="155"/>
      <c r="H300" s="157"/>
      <c r="I300" s="154"/>
      <c r="J300" s="154"/>
      <c r="K300" s="154"/>
      <c r="L300" s="154"/>
      <c r="M300" s="154"/>
    </row>
    <row r="301">
      <c r="A301" s="154"/>
      <c r="B301" s="154"/>
      <c r="C301" s="155"/>
      <c r="D301" s="156"/>
      <c r="E301" s="155"/>
      <c r="F301" s="155"/>
      <c r="G301" s="155"/>
      <c r="H301" s="157"/>
      <c r="I301" s="154"/>
      <c r="J301" s="154"/>
      <c r="K301" s="154"/>
      <c r="L301" s="154"/>
      <c r="M301" s="154"/>
    </row>
    <row r="302">
      <c r="A302" s="154"/>
      <c r="B302" s="154"/>
      <c r="C302" s="155"/>
      <c r="D302" s="156"/>
      <c r="E302" s="155"/>
      <c r="F302" s="155"/>
      <c r="G302" s="155"/>
      <c r="H302" s="157"/>
      <c r="I302" s="154"/>
      <c r="J302" s="154"/>
      <c r="K302" s="154"/>
      <c r="L302" s="154"/>
      <c r="M302" s="154"/>
    </row>
    <row r="303">
      <c r="A303" s="154"/>
      <c r="B303" s="154"/>
      <c r="C303" s="155"/>
      <c r="D303" s="156"/>
      <c r="E303" s="155"/>
      <c r="F303" s="155"/>
      <c r="G303" s="155"/>
      <c r="H303" s="157"/>
      <c r="I303" s="154"/>
      <c r="J303" s="154"/>
      <c r="K303" s="154"/>
      <c r="L303" s="154"/>
      <c r="M303" s="154"/>
    </row>
    <row r="304">
      <c r="A304" s="154"/>
      <c r="B304" s="154"/>
      <c r="C304" s="155"/>
      <c r="D304" s="156"/>
      <c r="E304" s="155"/>
      <c r="F304" s="155"/>
      <c r="G304" s="155"/>
      <c r="H304" s="157"/>
      <c r="I304" s="154"/>
      <c r="J304" s="154"/>
      <c r="K304" s="154"/>
      <c r="L304" s="154"/>
      <c r="M304" s="154"/>
    </row>
    <row r="305">
      <c r="A305" s="154"/>
      <c r="B305" s="154"/>
      <c r="C305" s="155"/>
      <c r="D305" s="156"/>
      <c r="E305" s="155"/>
      <c r="F305" s="155"/>
      <c r="G305" s="155"/>
      <c r="H305" s="157"/>
      <c r="I305" s="154"/>
      <c r="J305" s="154"/>
      <c r="K305" s="154"/>
      <c r="L305" s="154"/>
      <c r="M305" s="154"/>
    </row>
    <row r="306">
      <c r="A306" s="154"/>
      <c r="B306" s="154"/>
      <c r="C306" s="155"/>
      <c r="D306" s="156"/>
      <c r="E306" s="155"/>
      <c r="F306" s="155"/>
      <c r="G306" s="155"/>
      <c r="H306" s="157"/>
      <c r="I306" s="154"/>
      <c r="J306" s="154"/>
      <c r="K306" s="154"/>
      <c r="L306" s="154"/>
      <c r="M306" s="154"/>
    </row>
    <row r="307">
      <c r="A307" s="154"/>
      <c r="B307" s="154"/>
      <c r="C307" s="155"/>
      <c r="D307" s="156"/>
      <c r="E307" s="155"/>
      <c r="F307" s="155"/>
      <c r="G307" s="155"/>
      <c r="H307" s="157"/>
      <c r="I307" s="154"/>
      <c r="J307" s="154"/>
      <c r="K307" s="154"/>
      <c r="L307" s="154"/>
      <c r="M307" s="154"/>
    </row>
    <row r="308">
      <c r="A308" s="154"/>
      <c r="B308" s="154"/>
      <c r="C308" s="155"/>
      <c r="D308" s="156"/>
      <c r="E308" s="155"/>
      <c r="F308" s="155"/>
      <c r="G308" s="155"/>
      <c r="H308" s="157"/>
      <c r="I308" s="154"/>
      <c r="J308" s="154"/>
      <c r="K308" s="154"/>
      <c r="L308" s="154"/>
      <c r="M308" s="154"/>
    </row>
    <row r="309">
      <c r="A309" s="154"/>
      <c r="B309" s="154"/>
      <c r="C309" s="155"/>
      <c r="D309" s="156"/>
      <c r="E309" s="155"/>
      <c r="F309" s="155"/>
      <c r="G309" s="155"/>
      <c r="H309" s="157"/>
      <c r="I309" s="154"/>
      <c r="J309" s="154"/>
      <c r="K309" s="154"/>
      <c r="L309" s="154"/>
      <c r="M309" s="154"/>
    </row>
    <row r="310">
      <c r="A310" s="154"/>
      <c r="B310" s="154"/>
      <c r="C310" s="155"/>
      <c r="D310" s="156"/>
      <c r="E310" s="155"/>
      <c r="F310" s="155"/>
      <c r="G310" s="155"/>
      <c r="H310" s="157"/>
      <c r="I310" s="154"/>
      <c r="J310" s="154"/>
      <c r="K310" s="154"/>
      <c r="L310" s="154"/>
      <c r="M310" s="154"/>
    </row>
    <row r="311">
      <c r="A311" s="154"/>
      <c r="B311" s="154"/>
      <c r="C311" s="155"/>
      <c r="D311" s="156"/>
      <c r="E311" s="155"/>
      <c r="F311" s="155"/>
      <c r="G311" s="155"/>
      <c r="H311" s="157"/>
      <c r="I311" s="154"/>
      <c r="J311" s="154"/>
      <c r="K311" s="154"/>
      <c r="L311" s="154"/>
      <c r="M311" s="154"/>
    </row>
    <row r="312">
      <c r="A312" s="154"/>
      <c r="B312" s="154"/>
      <c r="C312" s="155"/>
      <c r="D312" s="156"/>
      <c r="E312" s="155"/>
      <c r="F312" s="155"/>
      <c r="G312" s="155"/>
      <c r="H312" s="157"/>
      <c r="I312" s="154"/>
      <c r="J312" s="154"/>
      <c r="K312" s="154"/>
      <c r="L312" s="154"/>
      <c r="M312" s="154"/>
    </row>
    <row r="313">
      <c r="A313" s="154"/>
      <c r="B313" s="154"/>
      <c r="C313" s="155"/>
      <c r="D313" s="156"/>
      <c r="E313" s="155"/>
      <c r="F313" s="155"/>
      <c r="G313" s="155"/>
      <c r="H313" s="157"/>
      <c r="I313" s="154"/>
      <c r="J313" s="154"/>
      <c r="K313" s="154"/>
      <c r="L313" s="154"/>
      <c r="M313" s="154"/>
    </row>
    <row r="314">
      <c r="A314" s="154"/>
      <c r="B314" s="154"/>
      <c r="C314" s="155"/>
      <c r="D314" s="156"/>
      <c r="E314" s="155"/>
      <c r="F314" s="155"/>
      <c r="G314" s="155"/>
      <c r="H314" s="157"/>
      <c r="I314" s="154"/>
      <c r="J314" s="154"/>
      <c r="K314" s="154"/>
      <c r="L314" s="154"/>
      <c r="M314" s="154"/>
    </row>
    <row r="315">
      <c r="A315" s="154"/>
      <c r="B315" s="154"/>
      <c r="C315" s="155"/>
      <c r="D315" s="156"/>
      <c r="E315" s="155"/>
      <c r="F315" s="155"/>
      <c r="G315" s="155"/>
      <c r="H315" s="157"/>
      <c r="I315" s="154"/>
      <c r="J315" s="154"/>
      <c r="K315" s="154"/>
      <c r="L315" s="154"/>
      <c r="M315" s="154"/>
    </row>
    <row r="316">
      <c r="A316" s="154"/>
      <c r="B316" s="154"/>
      <c r="C316" s="155"/>
      <c r="D316" s="156"/>
      <c r="E316" s="155"/>
      <c r="F316" s="155"/>
      <c r="G316" s="155"/>
      <c r="H316" s="157"/>
      <c r="I316" s="154"/>
      <c r="J316" s="154"/>
      <c r="K316" s="154"/>
      <c r="L316" s="154"/>
      <c r="M316" s="154"/>
    </row>
    <row r="317">
      <c r="A317" s="154"/>
      <c r="B317" s="154"/>
      <c r="C317" s="155"/>
      <c r="D317" s="156"/>
      <c r="E317" s="155"/>
      <c r="F317" s="155"/>
      <c r="G317" s="155"/>
      <c r="H317" s="157"/>
      <c r="I317" s="154"/>
      <c r="J317" s="154"/>
      <c r="K317" s="154"/>
      <c r="L317" s="154"/>
      <c r="M317" s="154"/>
    </row>
    <row r="318">
      <c r="A318" s="154"/>
      <c r="B318" s="154"/>
      <c r="C318" s="155"/>
      <c r="D318" s="156"/>
      <c r="E318" s="155"/>
      <c r="F318" s="155"/>
      <c r="G318" s="155"/>
      <c r="H318" s="157"/>
      <c r="I318" s="154"/>
      <c r="J318" s="154"/>
      <c r="K318" s="154"/>
      <c r="L318" s="154"/>
      <c r="M318" s="154"/>
    </row>
    <row r="319">
      <c r="A319" s="154"/>
      <c r="B319" s="154"/>
      <c r="C319" s="155"/>
      <c r="D319" s="156"/>
      <c r="E319" s="155"/>
      <c r="F319" s="155"/>
      <c r="G319" s="155"/>
      <c r="H319" s="157"/>
      <c r="I319" s="154"/>
      <c r="J319" s="154"/>
      <c r="K319" s="154"/>
      <c r="L319" s="154"/>
      <c r="M319" s="154"/>
    </row>
    <row r="320">
      <c r="A320" s="154"/>
      <c r="B320" s="154"/>
      <c r="C320" s="155"/>
      <c r="D320" s="156"/>
      <c r="E320" s="155"/>
      <c r="F320" s="155"/>
      <c r="G320" s="155"/>
      <c r="H320" s="157"/>
      <c r="I320" s="154"/>
      <c r="J320" s="154"/>
      <c r="K320" s="154"/>
      <c r="L320" s="154"/>
      <c r="M320" s="154"/>
    </row>
    <row r="321">
      <c r="A321" s="154"/>
      <c r="B321" s="154"/>
      <c r="C321" s="155"/>
      <c r="D321" s="156"/>
      <c r="E321" s="155"/>
      <c r="F321" s="155"/>
      <c r="G321" s="155"/>
      <c r="H321" s="157"/>
      <c r="I321" s="154"/>
      <c r="J321" s="154"/>
      <c r="K321" s="154"/>
      <c r="L321" s="154"/>
      <c r="M321" s="154"/>
    </row>
    <row r="322">
      <c r="A322" s="154"/>
      <c r="B322" s="154"/>
      <c r="C322" s="155"/>
      <c r="D322" s="156"/>
      <c r="E322" s="155"/>
      <c r="F322" s="155"/>
      <c r="G322" s="155"/>
      <c r="H322" s="157"/>
      <c r="I322" s="154"/>
      <c r="J322" s="154"/>
      <c r="K322" s="154"/>
      <c r="L322" s="154"/>
      <c r="M322" s="154"/>
    </row>
    <row r="323">
      <c r="A323" s="154"/>
      <c r="B323" s="154"/>
      <c r="C323" s="155"/>
      <c r="D323" s="156"/>
      <c r="E323" s="155"/>
      <c r="F323" s="155"/>
      <c r="G323" s="155"/>
      <c r="H323" s="157"/>
      <c r="I323" s="154"/>
      <c r="J323" s="154"/>
      <c r="K323" s="154"/>
      <c r="L323" s="154"/>
      <c r="M323" s="154"/>
    </row>
    <row r="324">
      <c r="A324" s="154"/>
      <c r="B324" s="154"/>
      <c r="C324" s="155"/>
      <c r="D324" s="156"/>
      <c r="E324" s="155"/>
      <c r="F324" s="155"/>
      <c r="G324" s="155"/>
      <c r="H324" s="157"/>
      <c r="I324" s="154"/>
      <c r="J324" s="154"/>
      <c r="K324" s="154"/>
      <c r="L324" s="154"/>
      <c r="M324" s="154"/>
    </row>
    <row r="325">
      <c r="A325" s="154"/>
      <c r="B325" s="154"/>
      <c r="C325" s="155"/>
      <c r="D325" s="156"/>
      <c r="E325" s="155"/>
      <c r="F325" s="155"/>
      <c r="G325" s="155"/>
      <c r="H325" s="157"/>
      <c r="I325" s="154"/>
      <c r="J325" s="154"/>
      <c r="K325" s="154"/>
      <c r="L325" s="154"/>
      <c r="M325" s="154"/>
    </row>
    <row r="326">
      <c r="A326" s="154"/>
      <c r="B326" s="154"/>
      <c r="C326" s="155"/>
      <c r="D326" s="156"/>
      <c r="E326" s="155"/>
      <c r="F326" s="155"/>
      <c r="G326" s="155"/>
      <c r="H326" s="157"/>
      <c r="I326" s="154"/>
      <c r="J326" s="154"/>
      <c r="K326" s="154"/>
      <c r="L326" s="154"/>
      <c r="M326" s="154"/>
    </row>
    <row r="327">
      <c r="A327" s="154"/>
      <c r="B327" s="154"/>
      <c r="C327" s="155"/>
      <c r="D327" s="156"/>
      <c r="E327" s="155"/>
      <c r="F327" s="155"/>
      <c r="G327" s="155"/>
      <c r="H327" s="157"/>
      <c r="I327" s="154"/>
      <c r="J327" s="154"/>
      <c r="K327" s="154"/>
      <c r="L327" s="154"/>
      <c r="M327" s="154"/>
    </row>
    <row r="328">
      <c r="A328" s="154"/>
      <c r="B328" s="154"/>
      <c r="C328" s="155"/>
      <c r="D328" s="156"/>
      <c r="E328" s="155"/>
      <c r="F328" s="155"/>
      <c r="G328" s="155"/>
      <c r="H328" s="157"/>
      <c r="I328" s="154"/>
      <c r="J328" s="154"/>
      <c r="K328" s="154"/>
      <c r="L328" s="154"/>
      <c r="M328" s="154"/>
    </row>
    <row r="329">
      <c r="A329" s="154"/>
      <c r="B329" s="154"/>
      <c r="C329" s="155"/>
      <c r="D329" s="156"/>
      <c r="E329" s="155"/>
      <c r="F329" s="155"/>
      <c r="G329" s="155"/>
      <c r="H329" s="157"/>
      <c r="I329" s="154"/>
      <c r="J329" s="154"/>
      <c r="K329" s="154"/>
      <c r="L329" s="154"/>
      <c r="M329" s="154"/>
    </row>
    <row r="330">
      <c r="A330" s="154"/>
      <c r="B330" s="154"/>
      <c r="C330" s="155"/>
      <c r="D330" s="156"/>
      <c r="E330" s="155"/>
      <c r="F330" s="155"/>
      <c r="G330" s="155"/>
      <c r="H330" s="157"/>
      <c r="I330" s="154"/>
      <c r="J330" s="154"/>
      <c r="K330" s="154"/>
      <c r="L330" s="154"/>
      <c r="M330" s="154"/>
    </row>
    <row r="331">
      <c r="A331" s="154"/>
      <c r="B331" s="154"/>
      <c r="C331" s="155"/>
      <c r="D331" s="156"/>
      <c r="E331" s="155"/>
      <c r="F331" s="155"/>
      <c r="G331" s="155"/>
      <c r="H331" s="157"/>
      <c r="I331" s="154"/>
      <c r="J331" s="154"/>
      <c r="K331" s="154"/>
      <c r="L331" s="154"/>
      <c r="M331" s="154"/>
    </row>
    <row r="332">
      <c r="A332" s="154"/>
      <c r="B332" s="154"/>
      <c r="C332" s="155"/>
      <c r="D332" s="156"/>
      <c r="E332" s="155"/>
      <c r="F332" s="155"/>
      <c r="G332" s="155"/>
      <c r="H332" s="157"/>
      <c r="I332" s="154"/>
      <c r="J332" s="154"/>
      <c r="K332" s="154"/>
      <c r="L332" s="154"/>
      <c r="M332" s="154"/>
    </row>
    <row r="333">
      <c r="A333" s="154"/>
      <c r="B333" s="154"/>
      <c r="C333" s="155"/>
      <c r="D333" s="156"/>
      <c r="E333" s="155"/>
      <c r="F333" s="155"/>
      <c r="G333" s="155"/>
      <c r="H333" s="157"/>
      <c r="I333" s="154"/>
      <c r="J333" s="154"/>
      <c r="K333" s="154"/>
      <c r="L333" s="154"/>
      <c r="M333" s="154"/>
    </row>
    <row r="334">
      <c r="A334" s="154"/>
      <c r="B334" s="154"/>
      <c r="C334" s="155"/>
      <c r="D334" s="156"/>
      <c r="E334" s="155"/>
      <c r="F334" s="155"/>
      <c r="G334" s="155"/>
      <c r="H334" s="157"/>
      <c r="I334" s="154"/>
      <c r="J334" s="154"/>
      <c r="K334" s="154"/>
      <c r="L334" s="154"/>
      <c r="M334" s="154"/>
    </row>
    <row r="335">
      <c r="A335" s="154"/>
      <c r="B335" s="154"/>
      <c r="C335" s="155"/>
      <c r="D335" s="156"/>
      <c r="E335" s="155"/>
      <c r="F335" s="155"/>
      <c r="G335" s="155"/>
      <c r="H335" s="157"/>
      <c r="I335" s="154"/>
      <c r="J335" s="154"/>
      <c r="K335" s="154"/>
      <c r="L335" s="154"/>
      <c r="M335" s="154"/>
    </row>
    <row r="336">
      <c r="A336" s="154"/>
      <c r="B336" s="154"/>
      <c r="C336" s="155"/>
      <c r="D336" s="156"/>
      <c r="E336" s="155"/>
      <c r="F336" s="155"/>
      <c r="G336" s="155"/>
      <c r="H336" s="157"/>
      <c r="I336" s="154"/>
      <c r="J336" s="154"/>
      <c r="K336" s="154"/>
      <c r="L336" s="154"/>
      <c r="M336" s="154"/>
    </row>
    <row r="337">
      <c r="A337" s="154"/>
      <c r="B337" s="154"/>
      <c r="C337" s="155"/>
      <c r="D337" s="156"/>
      <c r="E337" s="155"/>
      <c r="F337" s="155"/>
      <c r="G337" s="155"/>
      <c r="H337" s="157"/>
      <c r="I337" s="154"/>
      <c r="J337" s="154"/>
      <c r="K337" s="154"/>
      <c r="L337" s="154"/>
      <c r="M337" s="154"/>
    </row>
    <row r="338">
      <c r="A338" s="154"/>
      <c r="B338" s="154"/>
      <c r="C338" s="155"/>
      <c r="D338" s="156"/>
      <c r="E338" s="155"/>
      <c r="F338" s="155"/>
      <c r="G338" s="155"/>
      <c r="H338" s="157"/>
      <c r="I338" s="154"/>
      <c r="J338" s="154"/>
      <c r="K338" s="154"/>
      <c r="L338" s="154"/>
      <c r="M338" s="154"/>
    </row>
    <row r="339">
      <c r="A339" s="154"/>
      <c r="B339" s="154"/>
      <c r="C339" s="155"/>
      <c r="D339" s="156"/>
      <c r="E339" s="155"/>
      <c r="F339" s="155"/>
      <c r="G339" s="155"/>
      <c r="H339" s="157"/>
      <c r="I339" s="154"/>
      <c r="J339" s="154"/>
      <c r="K339" s="154"/>
      <c r="L339" s="154"/>
      <c r="M339" s="154"/>
    </row>
    <row r="340">
      <c r="A340" s="154"/>
      <c r="B340" s="154"/>
      <c r="C340" s="155"/>
      <c r="D340" s="156"/>
      <c r="E340" s="155"/>
      <c r="F340" s="155"/>
      <c r="G340" s="155"/>
      <c r="H340" s="157"/>
      <c r="I340" s="154"/>
      <c r="J340" s="154"/>
      <c r="K340" s="154"/>
      <c r="L340" s="154"/>
      <c r="M340" s="154"/>
    </row>
    <row r="341">
      <c r="A341" s="154"/>
      <c r="B341" s="154"/>
      <c r="C341" s="155"/>
      <c r="D341" s="156"/>
      <c r="E341" s="155"/>
      <c r="F341" s="155"/>
      <c r="G341" s="155"/>
      <c r="H341" s="157"/>
      <c r="I341" s="154"/>
      <c r="J341" s="154"/>
      <c r="K341" s="154"/>
      <c r="L341" s="154"/>
      <c r="M341" s="154"/>
    </row>
    <row r="342">
      <c r="A342" s="154"/>
      <c r="B342" s="154"/>
      <c r="C342" s="155"/>
      <c r="D342" s="156"/>
      <c r="E342" s="155"/>
      <c r="F342" s="155"/>
      <c r="G342" s="155"/>
      <c r="H342" s="157"/>
      <c r="I342" s="154"/>
      <c r="J342" s="154"/>
      <c r="K342" s="154"/>
      <c r="L342" s="154"/>
      <c r="M342" s="154"/>
    </row>
    <row r="343">
      <c r="A343" s="154"/>
      <c r="B343" s="154"/>
      <c r="C343" s="155"/>
      <c r="D343" s="156"/>
      <c r="E343" s="155"/>
      <c r="F343" s="155"/>
      <c r="G343" s="155"/>
      <c r="H343" s="157"/>
      <c r="I343" s="154"/>
      <c r="J343" s="154"/>
      <c r="K343" s="154"/>
      <c r="L343" s="154"/>
      <c r="M343" s="154"/>
    </row>
    <row r="344">
      <c r="A344" s="154"/>
      <c r="B344" s="154"/>
      <c r="C344" s="155"/>
      <c r="D344" s="156"/>
      <c r="E344" s="155"/>
      <c r="F344" s="155"/>
      <c r="G344" s="155"/>
      <c r="H344" s="157"/>
      <c r="I344" s="154"/>
      <c r="J344" s="154"/>
      <c r="K344" s="154"/>
      <c r="L344" s="154"/>
      <c r="M344" s="154"/>
    </row>
    <row r="345">
      <c r="A345" s="154"/>
      <c r="B345" s="154"/>
      <c r="C345" s="155"/>
      <c r="D345" s="156"/>
      <c r="E345" s="155"/>
      <c r="F345" s="155"/>
      <c r="G345" s="155"/>
      <c r="H345" s="157"/>
      <c r="I345" s="154"/>
      <c r="J345" s="154"/>
      <c r="K345" s="154"/>
      <c r="L345" s="154"/>
      <c r="M345" s="154"/>
    </row>
    <row r="346">
      <c r="A346" s="154"/>
      <c r="B346" s="154"/>
      <c r="C346" s="155"/>
      <c r="D346" s="156"/>
      <c r="E346" s="155"/>
      <c r="F346" s="155"/>
      <c r="G346" s="155"/>
      <c r="H346" s="157"/>
      <c r="I346" s="154"/>
      <c r="J346" s="154"/>
      <c r="K346" s="154"/>
      <c r="L346" s="154"/>
      <c r="M346" s="154"/>
    </row>
    <row r="347">
      <c r="A347" s="154"/>
      <c r="B347" s="154"/>
      <c r="C347" s="155"/>
      <c r="D347" s="156"/>
      <c r="E347" s="155"/>
      <c r="F347" s="155"/>
      <c r="G347" s="155"/>
      <c r="H347" s="157"/>
      <c r="I347" s="154"/>
      <c r="J347" s="154"/>
      <c r="K347" s="154"/>
      <c r="L347" s="154"/>
      <c r="M347" s="154"/>
    </row>
    <row r="348">
      <c r="A348" s="154"/>
      <c r="B348" s="154"/>
      <c r="C348" s="155"/>
      <c r="D348" s="156"/>
      <c r="E348" s="155"/>
      <c r="F348" s="155"/>
      <c r="G348" s="155"/>
      <c r="H348" s="157"/>
      <c r="I348" s="154"/>
      <c r="J348" s="154"/>
      <c r="K348" s="154"/>
      <c r="L348" s="154"/>
      <c r="M348" s="154"/>
    </row>
    <row r="349">
      <c r="A349" s="154"/>
      <c r="B349" s="154"/>
      <c r="C349" s="155"/>
      <c r="D349" s="156"/>
      <c r="E349" s="155"/>
      <c r="F349" s="155"/>
      <c r="G349" s="155"/>
      <c r="H349" s="157"/>
      <c r="I349" s="154"/>
      <c r="J349" s="154"/>
      <c r="K349" s="154"/>
      <c r="L349" s="154"/>
      <c r="M349" s="154"/>
    </row>
    <row r="350">
      <c r="A350" s="154"/>
      <c r="B350" s="154"/>
      <c r="C350" s="155"/>
      <c r="D350" s="156"/>
      <c r="E350" s="155"/>
      <c r="F350" s="155"/>
      <c r="G350" s="155"/>
      <c r="H350" s="157"/>
      <c r="I350" s="154"/>
      <c r="J350" s="154"/>
      <c r="K350" s="154"/>
      <c r="L350" s="154"/>
      <c r="M350" s="154"/>
    </row>
    <row r="351">
      <c r="A351" s="154"/>
      <c r="B351" s="154"/>
      <c r="C351" s="155"/>
      <c r="D351" s="156"/>
      <c r="E351" s="155"/>
      <c r="F351" s="155"/>
      <c r="G351" s="155"/>
      <c r="H351" s="157"/>
      <c r="I351" s="154"/>
      <c r="J351" s="154"/>
      <c r="K351" s="154"/>
      <c r="L351" s="154"/>
      <c r="M351" s="154"/>
    </row>
    <row r="352">
      <c r="A352" s="154"/>
      <c r="B352" s="154"/>
      <c r="C352" s="155"/>
      <c r="D352" s="156"/>
      <c r="E352" s="155"/>
      <c r="F352" s="155"/>
      <c r="G352" s="155"/>
      <c r="H352" s="157"/>
      <c r="I352" s="154"/>
      <c r="J352" s="154"/>
      <c r="K352" s="154"/>
      <c r="L352" s="154"/>
      <c r="M352" s="154"/>
    </row>
    <row r="353">
      <c r="A353" s="154"/>
      <c r="B353" s="154"/>
      <c r="C353" s="155"/>
      <c r="D353" s="156"/>
      <c r="E353" s="155"/>
      <c r="F353" s="155"/>
      <c r="G353" s="155"/>
      <c r="H353" s="157"/>
      <c r="I353" s="154"/>
      <c r="J353" s="154"/>
      <c r="K353" s="154"/>
      <c r="L353" s="154"/>
      <c r="M353" s="154"/>
    </row>
    <row r="354">
      <c r="A354" s="154"/>
      <c r="B354" s="154"/>
      <c r="C354" s="155"/>
      <c r="D354" s="156"/>
      <c r="E354" s="155"/>
      <c r="F354" s="155"/>
      <c r="G354" s="155"/>
      <c r="H354" s="157"/>
      <c r="I354" s="154"/>
      <c r="J354" s="154"/>
      <c r="K354" s="154"/>
      <c r="L354" s="154"/>
      <c r="M354" s="154"/>
    </row>
    <row r="355">
      <c r="A355" s="154"/>
      <c r="B355" s="154"/>
      <c r="C355" s="155"/>
      <c r="D355" s="156"/>
      <c r="E355" s="155"/>
      <c r="F355" s="155"/>
      <c r="G355" s="155"/>
      <c r="H355" s="157"/>
      <c r="I355" s="154"/>
      <c r="J355" s="154"/>
      <c r="K355" s="154"/>
      <c r="L355" s="154"/>
      <c r="M355" s="154"/>
    </row>
    <row r="356">
      <c r="A356" s="154"/>
      <c r="B356" s="154"/>
      <c r="C356" s="155"/>
      <c r="D356" s="156"/>
      <c r="E356" s="155"/>
      <c r="F356" s="155"/>
      <c r="G356" s="155"/>
      <c r="H356" s="157"/>
      <c r="I356" s="154"/>
      <c r="J356" s="154"/>
      <c r="K356" s="154"/>
      <c r="L356" s="154"/>
      <c r="M356" s="154"/>
    </row>
    <row r="357">
      <c r="A357" s="154"/>
      <c r="B357" s="154"/>
      <c r="C357" s="155"/>
      <c r="D357" s="156"/>
      <c r="E357" s="155"/>
      <c r="F357" s="155"/>
      <c r="G357" s="155"/>
      <c r="H357" s="157"/>
      <c r="I357" s="154"/>
      <c r="J357" s="154"/>
      <c r="K357" s="154"/>
      <c r="L357" s="154"/>
      <c r="M357" s="154"/>
    </row>
    <row r="358">
      <c r="A358" s="154"/>
      <c r="B358" s="154"/>
      <c r="C358" s="155"/>
      <c r="D358" s="156"/>
      <c r="E358" s="155"/>
      <c r="F358" s="155"/>
      <c r="G358" s="155"/>
      <c r="H358" s="157"/>
      <c r="I358" s="154"/>
      <c r="J358" s="154"/>
      <c r="K358" s="154"/>
      <c r="L358" s="154"/>
      <c r="M358" s="154"/>
    </row>
    <row r="359">
      <c r="A359" s="154"/>
      <c r="B359" s="154"/>
      <c r="C359" s="155"/>
      <c r="D359" s="156"/>
      <c r="E359" s="155"/>
      <c r="F359" s="155"/>
      <c r="G359" s="155"/>
      <c r="H359" s="157"/>
      <c r="I359" s="154"/>
      <c r="J359" s="154"/>
      <c r="K359" s="154"/>
      <c r="L359" s="154"/>
      <c r="M359" s="154"/>
    </row>
    <row r="360">
      <c r="A360" s="154"/>
      <c r="B360" s="154"/>
      <c r="C360" s="155"/>
      <c r="D360" s="156"/>
      <c r="E360" s="155"/>
      <c r="F360" s="155"/>
      <c r="G360" s="155"/>
      <c r="H360" s="157"/>
      <c r="I360" s="154"/>
      <c r="J360" s="154"/>
      <c r="K360" s="154"/>
      <c r="L360" s="154"/>
      <c r="M360" s="154"/>
    </row>
    <row r="361">
      <c r="A361" s="154"/>
      <c r="B361" s="154"/>
      <c r="C361" s="155"/>
      <c r="D361" s="156"/>
      <c r="E361" s="155"/>
      <c r="F361" s="155"/>
      <c r="G361" s="155"/>
      <c r="H361" s="157"/>
      <c r="I361" s="154"/>
      <c r="J361" s="154"/>
      <c r="K361" s="154"/>
      <c r="L361" s="154"/>
      <c r="M361" s="154"/>
    </row>
    <row r="362">
      <c r="A362" s="154"/>
      <c r="B362" s="154"/>
      <c r="C362" s="155"/>
      <c r="D362" s="156"/>
      <c r="E362" s="155"/>
      <c r="F362" s="155"/>
      <c r="G362" s="155"/>
      <c r="H362" s="157"/>
      <c r="I362" s="154"/>
      <c r="J362" s="154"/>
      <c r="K362" s="154"/>
      <c r="L362" s="154"/>
      <c r="M362" s="154"/>
    </row>
    <row r="363">
      <c r="A363" s="154"/>
      <c r="B363" s="154"/>
      <c r="C363" s="155"/>
      <c r="D363" s="156"/>
      <c r="E363" s="155"/>
      <c r="F363" s="155"/>
      <c r="G363" s="155"/>
      <c r="H363" s="157"/>
      <c r="I363" s="154"/>
      <c r="J363" s="154"/>
      <c r="K363" s="154"/>
      <c r="L363" s="154"/>
      <c r="M363" s="154"/>
    </row>
    <row r="364">
      <c r="A364" s="154"/>
      <c r="B364" s="154"/>
      <c r="C364" s="155"/>
      <c r="D364" s="156"/>
      <c r="E364" s="155"/>
      <c r="F364" s="155"/>
      <c r="G364" s="155"/>
      <c r="H364" s="157"/>
      <c r="I364" s="154"/>
      <c r="J364" s="154"/>
      <c r="K364" s="154"/>
      <c r="L364" s="154"/>
      <c r="M364" s="154"/>
    </row>
    <row r="365">
      <c r="A365" s="154"/>
      <c r="B365" s="154"/>
      <c r="C365" s="155"/>
      <c r="D365" s="156"/>
      <c r="E365" s="155"/>
      <c r="F365" s="155"/>
      <c r="G365" s="155"/>
      <c r="H365" s="157"/>
      <c r="I365" s="154"/>
      <c r="J365" s="154"/>
      <c r="K365" s="154"/>
      <c r="L365" s="154"/>
      <c r="M365" s="154"/>
    </row>
    <row r="366">
      <c r="A366" s="154"/>
      <c r="B366" s="154"/>
      <c r="C366" s="155"/>
      <c r="D366" s="156"/>
      <c r="E366" s="155"/>
      <c r="F366" s="155"/>
      <c r="G366" s="155"/>
      <c r="H366" s="157"/>
      <c r="I366" s="154"/>
      <c r="J366" s="154"/>
      <c r="K366" s="154"/>
      <c r="L366" s="154"/>
      <c r="M366" s="154"/>
    </row>
    <row r="367">
      <c r="A367" s="154"/>
      <c r="B367" s="154"/>
      <c r="C367" s="155"/>
      <c r="D367" s="156"/>
      <c r="E367" s="155"/>
      <c r="F367" s="155"/>
      <c r="G367" s="155"/>
      <c r="H367" s="157"/>
      <c r="I367" s="154"/>
      <c r="J367" s="154"/>
      <c r="K367" s="154"/>
      <c r="L367" s="154"/>
      <c r="M367" s="154"/>
    </row>
    <row r="368">
      <c r="A368" s="154"/>
      <c r="B368" s="154"/>
      <c r="C368" s="155"/>
      <c r="D368" s="156"/>
      <c r="E368" s="155"/>
      <c r="F368" s="155"/>
      <c r="G368" s="155"/>
      <c r="H368" s="157"/>
      <c r="I368" s="154"/>
      <c r="J368" s="154"/>
      <c r="K368" s="154"/>
      <c r="L368" s="154"/>
      <c r="M368" s="154"/>
    </row>
    <row r="369">
      <c r="A369" s="154"/>
      <c r="B369" s="154"/>
      <c r="C369" s="155"/>
      <c r="D369" s="156"/>
      <c r="E369" s="155"/>
      <c r="F369" s="155"/>
      <c r="G369" s="155"/>
      <c r="H369" s="157"/>
      <c r="I369" s="154"/>
      <c r="J369" s="154"/>
      <c r="K369" s="154"/>
      <c r="L369" s="154"/>
      <c r="M369" s="154"/>
    </row>
    <row r="370">
      <c r="A370" s="154"/>
      <c r="B370" s="154"/>
      <c r="C370" s="155"/>
      <c r="D370" s="156"/>
      <c r="E370" s="155"/>
      <c r="F370" s="155"/>
      <c r="G370" s="155"/>
      <c r="H370" s="157"/>
      <c r="I370" s="154"/>
      <c r="J370" s="154"/>
      <c r="K370" s="154"/>
      <c r="L370" s="154"/>
      <c r="M370" s="154"/>
    </row>
    <row r="371">
      <c r="A371" s="154"/>
      <c r="B371" s="154"/>
      <c r="C371" s="155"/>
      <c r="D371" s="156"/>
      <c r="E371" s="155"/>
      <c r="F371" s="155"/>
      <c r="G371" s="155"/>
      <c r="H371" s="157"/>
      <c r="I371" s="154"/>
      <c r="J371" s="154"/>
      <c r="K371" s="154"/>
      <c r="L371" s="154"/>
      <c r="M371" s="154"/>
    </row>
    <row r="372">
      <c r="A372" s="154"/>
      <c r="B372" s="154"/>
      <c r="C372" s="155"/>
      <c r="D372" s="156"/>
      <c r="E372" s="155"/>
      <c r="F372" s="155"/>
      <c r="G372" s="155"/>
      <c r="H372" s="157"/>
      <c r="I372" s="154"/>
      <c r="J372" s="154"/>
      <c r="K372" s="154"/>
      <c r="L372" s="154"/>
      <c r="M372" s="154"/>
    </row>
    <row r="373">
      <c r="A373" s="154"/>
      <c r="B373" s="154"/>
      <c r="C373" s="155"/>
      <c r="D373" s="156"/>
      <c r="E373" s="155"/>
      <c r="F373" s="155"/>
      <c r="G373" s="155"/>
      <c r="H373" s="157"/>
      <c r="I373" s="154"/>
      <c r="J373" s="154"/>
      <c r="K373" s="154"/>
      <c r="L373" s="154"/>
      <c r="M373" s="154"/>
    </row>
    <row r="374">
      <c r="A374" s="154"/>
      <c r="B374" s="154"/>
      <c r="C374" s="155"/>
      <c r="D374" s="156"/>
      <c r="E374" s="155"/>
      <c r="F374" s="155"/>
      <c r="G374" s="155"/>
      <c r="H374" s="157"/>
      <c r="I374" s="154"/>
      <c r="J374" s="154"/>
      <c r="K374" s="154"/>
      <c r="L374" s="154"/>
      <c r="M374" s="154"/>
    </row>
    <row r="375">
      <c r="A375" s="154"/>
      <c r="B375" s="154"/>
      <c r="C375" s="155"/>
      <c r="D375" s="156"/>
      <c r="E375" s="155"/>
      <c r="F375" s="155"/>
      <c r="G375" s="155"/>
      <c r="H375" s="157"/>
      <c r="I375" s="154"/>
      <c r="J375" s="154"/>
      <c r="K375" s="154"/>
      <c r="L375" s="154"/>
      <c r="M375" s="154"/>
    </row>
    <row r="376">
      <c r="A376" s="154"/>
      <c r="B376" s="154"/>
      <c r="C376" s="155"/>
      <c r="D376" s="156"/>
      <c r="E376" s="155"/>
      <c r="F376" s="155"/>
      <c r="G376" s="155"/>
      <c r="H376" s="157"/>
      <c r="I376" s="154"/>
      <c r="J376" s="154"/>
      <c r="K376" s="154"/>
      <c r="L376" s="154"/>
      <c r="M376" s="154"/>
    </row>
    <row r="377">
      <c r="A377" s="154"/>
      <c r="B377" s="154"/>
      <c r="C377" s="155"/>
      <c r="D377" s="156"/>
      <c r="E377" s="155"/>
      <c r="F377" s="155"/>
      <c r="G377" s="155"/>
      <c r="H377" s="157"/>
      <c r="I377" s="154"/>
      <c r="J377" s="154"/>
      <c r="K377" s="154"/>
      <c r="L377" s="154"/>
      <c r="M377" s="154"/>
    </row>
    <row r="378">
      <c r="A378" s="154"/>
      <c r="B378" s="154"/>
      <c r="C378" s="155"/>
      <c r="D378" s="156"/>
      <c r="E378" s="155"/>
      <c r="F378" s="155"/>
      <c r="G378" s="155"/>
      <c r="H378" s="157"/>
      <c r="I378" s="154"/>
      <c r="J378" s="154"/>
      <c r="K378" s="154"/>
      <c r="L378" s="154"/>
      <c r="M378" s="154"/>
    </row>
    <row r="379">
      <c r="A379" s="154"/>
      <c r="B379" s="154"/>
      <c r="C379" s="155"/>
      <c r="D379" s="156"/>
      <c r="E379" s="155"/>
      <c r="F379" s="155"/>
      <c r="G379" s="155"/>
      <c r="H379" s="157"/>
      <c r="I379" s="154"/>
      <c r="J379" s="154"/>
      <c r="K379" s="154"/>
      <c r="L379" s="154"/>
      <c r="M379" s="154"/>
    </row>
    <row r="380">
      <c r="A380" s="154"/>
      <c r="B380" s="154"/>
      <c r="C380" s="155"/>
      <c r="D380" s="156"/>
      <c r="E380" s="155"/>
      <c r="F380" s="155"/>
      <c r="G380" s="155"/>
      <c r="H380" s="157"/>
      <c r="I380" s="154"/>
      <c r="J380" s="154"/>
      <c r="K380" s="154"/>
      <c r="L380" s="154"/>
      <c r="M380" s="154"/>
    </row>
    <row r="381">
      <c r="A381" s="154"/>
      <c r="B381" s="154"/>
      <c r="C381" s="155"/>
      <c r="D381" s="156"/>
      <c r="E381" s="155"/>
      <c r="F381" s="155"/>
      <c r="G381" s="155"/>
      <c r="H381" s="157"/>
      <c r="I381" s="154"/>
      <c r="J381" s="154"/>
      <c r="K381" s="154"/>
      <c r="L381" s="154"/>
      <c r="M381" s="154"/>
    </row>
    <row r="382">
      <c r="A382" s="154"/>
      <c r="B382" s="154"/>
      <c r="C382" s="155"/>
      <c r="D382" s="156"/>
      <c r="E382" s="155"/>
      <c r="F382" s="155"/>
      <c r="G382" s="155"/>
      <c r="H382" s="157"/>
      <c r="I382" s="154"/>
      <c r="J382" s="154"/>
      <c r="K382" s="154"/>
      <c r="L382" s="154"/>
      <c r="M382" s="154"/>
    </row>
    <row r="383">
      <c r="A383" s="154"/>
      <c r="B383" s="154"/>
      <c r="C383" s="155"/>
      <c r="D383" s="156"/>
      <c r="E383" s="155"/>
      <c r="F383" s="155"/>
      <c r="G383" s="155"/>
      <c r="H383" s="157"/>
      <c r="I383" s="154"/>
      <c r="J383" s="154"/>
      <c r="K383" s="154"/>
      <c r="L383" s="154"/>
      <c r="M383" s="154"/>
    </row>
    <row r="384">
      <c r="A384" s="154"/>
      <c r="B384" s="154"/>
      <c r="C384" s="155"/>
      <c r="D384" s="156"/>
      <c r="E384" s="155"/>
      <c r="F384" s="155"/>
      <c r="G384" s="155"/>
      <c r="H384" s="157"/>
      <c r="I384" s="154"/>
      <c r="J384" s="154"/>
      <c r="K384" s="154"/>
      <c r="L384" s="154"/>
      <c r="M384" s="154"/>
    </row>
    <row r="385">
      <c r="A385" s="154"/>
      <c r="B385" s="154"/>
      <c r="C385" s="155"/>
      <c r="D385" s="156"/>
      <c r="E385" s="155"/>
      <c r="F385" s="155"/>
      <c r="G385" s="155"/>
      <c r="H385" s="157"/>
      <c r="I385" s="154"/>
      <c r="J385" s="154"/>
      <c r="K385" s="154"/>
      <c r="L385" s="154"/>
      <c r="M385" s="154"/>
    </row>
    <row r="386">
      <c r="A386" s="154"/>
      <c r="B386" s="154"/>
      <c r="C386" s="155"/>
      <c r="D386" s="156"/>
      <c r="E386" s="155"/>
      <c r="F386" s="155"/>
      <c r="G386" s="155"/>
      <c r="H386" s="157"/>
      <c r="I386" s="154"/>
      <c r="J386" s="154"/>
      <c r="K386" s="154"/>
      <c r="L386" s="154"/>
      <c r="M386" s="154"/>
    </row>
    <row r="387">
      <c r="A387" s="154"/>
      <c r="B387" s="154"/>
      <c r="C387" s="155"/>
      <c r="D387" s="156"/>
      <c r="E387" s="155"/>
      <c r="F387" s="155"/>
      <c r="G387" s="155"/>
      <c r="H387" s="157"/>
      <c r="I387" s="154"/>
      <c r="J387" s="154"/>
      <c r="K387" s="154"/>
      <c r="L387" s="154"/>
      <c r="M387" s="154"/>
    </row>
    <row r="388">
      <c r="A388" s="154"/>
      <c r="B388" s="154"/>
      <c r="C388" s="155"/>
      <c r="D388" s="156"/>
      <c r="E388" s="155"/>
      <c r="F388" s="155"/>
      <c r="G388" s="155"/>
      <c r="H388" s="157"/>
      <c r="I388" s="154"/>
      <c r="J388" s="154"/>
      <c r="K388" s="154"/>
      <c r="L388" s="154"/>
      <c r="M388" s="154"/>
    </row>
    <row r="389">
      <c r="A389" s="154"/>
      <c r="B389" s="154"/>
      <c r="C389" s="155"/>
      <c r="D389" s="156"/>
      <c r="E389" s="155"/>
      <c r="F389" s="155"/>
      <c r="G389" s="155"/>
      <c r="H389" s="157"/>
      <c r="I389" s="154"/>
      <c r="J389" s="154"/>
      <c r="K389" s="154"/>
      <c r="L389" s="154"/>
      <c r="M389" s="154"/>
    </row>
    <row r="390">
      <c r="A390" s="154"/>
      <c r="B390" s="154"/>
      <c r="C390" s="155"/>
      <c r="D390" s="156"/>
      <c r="E390" s="155"/>
      <c r="F390" s="155"/>
      <c r="G390" s="155"/>
      <c r="H390" s="157"/>
      <c r="I390" s="154"/>
      <c r="J390" s="154"/>
      <c r="K390" s="154"/>
      <c r="L390" s="154"/>
      <c r="M390" s="154"/>
    </row>
    <row r="391">
      <c r="A391" s="154"/>
      <c r="B391" s="154"/>
      <c r="C391" s="155"/>
      <c r="D391" s="156"/>
      <c r="E391" s="155"/>
      <c r="F391" s="155"/>
      <c r="G391" s="155"/>
      <c r="H391" s="157"/>
      <c r="I391" s="154"/>
      <c r="J391" s="154"/>
      <c r="K391" s="154"/>
      <c r="L391" s="154"/>
      <c r="M391" s="154"/>
    </row>
    <row r="392">
      <c r="A392" s="154"/>
      <c r="B392" s="154"/>
      <c r="C392" s="155"/>
      <c r="D392" s="156"/>
      <c r="E392" s="155"/>
      <c r="F392" s="155"/>
      <c r="G392" s="155"/>
      <c r="H392" s="157"/>
      <c r="I392" s="154"/>
      <c r="J392" s="154"/>
      <c r="K392" s="154"/>
      <c r="L392" s="154"/>
      <c r="M392" s="154"/>
    </row>
    <row r="393">
      <c r="A393" s="154"/>
      <c r="B393" s="154"/>
      <c r="C393" s="155"/>
      <c r="D393" s="156"/>
      <c r="E393" s="155"/>
      <c r="F393" s="155"/>
      <c r="G393" s="155"/>
      <c r="H393" s="157"/>
      <c r="I393" s="154"/>
      <c r="J393" s="154"/>
      <c r="K393" s="154"/>
      <c r="L393" s="154"/>
      <c r="M393" s="154"/>
    </row>
    <row r="394">
      <c r="A394" s="154"/>
      <c r="B394" s="154"/>
      <c r="C394" s="155"/>
      <c r="D394" s="156"/>
      <c r="E394" s="155"/>
      <c r="F394" s="155"/>
      <c r="G394" s="155"/>
      <c r="H394" s="157"/>
      <c r="I394" s="154"/>
      <c r="J394" s="154"/>
      <c r="K394" s="154"/>
      <c r="L394" s="154"/>
      <c r="M394" s="154"/>
    </row>
    <row r="395">
      <c r="A395" s="154"/>
      <c r="B395" s="154"/>
      <c r="C395" s="155"/>
      <c r="D395" s="156"/>
      <c r="E395" s="155"/>
      <c r="F395" s="155"/>
      <c r="G395" s="155"/>
      <c r="H395" s="157"/>
      <c r="I395" s="154"/>
      <c r="J395" s="154"/>
      <c r="K395" s="154"/>
      <c r="L395" s="154"/>
      <c r="M395" s="154"/>
    </row>
    <row r="396">
      <c r="A396" s="154"/>
      <c r="B396" s="154"/>
      <c r="C396" s="155"/>
      <c r="D396" s="156"/>
      <c r="E396" s="155"/>
      <c r="F396" s="155"/>
      <c r="G396" s="155"/>
      <c r="H396" s="157"/>
      <c r="I396" s="154"/>
      <c r="J396" s="154"/>
      <c r="K396" s="154"/>
      <c r="L396" s="154"/>
      <c r="M396" s="154"/>
    </row>
    <row r="397">
      <c r="A397" s="154"/>
      <c r="B397" s="154"/>
      <c r="C397" s="155"/>
      <c r="D397" s="156"/>
      <c r="E397" s="155"/>
      <c r="F397" s="155"/>
      <c r="G397" s="155"/>
      <c r="H397" s="157"/>
      <c r="I397" s="154"/>
      <c r="J397" s="154"/>
      <c r="K397" s="154"/>
      <c r="L397" s="154"/>
      <c r="M397" s="154"/>
    </row>
    <row r="398">
      <c r="A398" s="154"/>
      <c r="B398" s="154"/>
      <c r="C398" s="155"/>
      <c r="D398" s="156"/>
      <c r="E398" s="155"/>
      <c r="F398" s="155"/>
      <c r="G398" s="155"/>
      <c r="H398" s="157"/>
      <c r="I398" s="154"/>
      <c r="J398" s="154"/>
      <c r="K398" s="154"/>
      <c r="L398" s="154"/>
      <c r="M398" s="154"/>
    </row>
    <row r="399">
      <c r="A399" s="154"/>
      <c r="B399" s="154"/>
      <c r="C399" s="155"/>
      <c r="D399" s="156"/>
      <c r="E399" s="155"/>
      <c r="F399" s="155"/>
      <c r="G399" s="155"/>
      <c r="H399" s="157"/>
      <c r="I399" s="154"/>
      <c r="J399" s="154"/>
      <c r="K399" s="154"/>
      <c r="L399" s="154"/>
      <c r="M399" s="154"/>
    </row>
    <row r="400">
      <c r="A400" s="154"/>
      <c r="B400" s="154"/>
      <c r="C400" s="155"/>
      <c r="D400" s="156"/>
      <c r="E400" s="155"/>
      <c r="F400" s="155"/>
      <c r="G400" s="155"/>
      <c r="H400" s="157"/>
      <c r="I400" s="154"/>
      <c r="J400" s="154"/>
      <c r="K400" s="154"/>
      <c r="L400" s="154"/>
      <c r="M400" s="154"/>
    </row>
    <row r="401">
      <c r="A401" s="154"/>
      <c r="B401" s="154"/>
      <c r="C401" s="155"/>
      <c r="D401" s="156"/>
      <c r="E401" s="155"/>
      <c r="F401" s="155"/>
      <c r="G401" s="155"/>
      <c r="H401" s="157"/>
      <c r="I401" s="154"/>
      <c r="J401" s="154"/>
      <c r="K401" s="154"/>
      <c r="L401" s="154"/>
      <c r="M401" s="154"/>
    </row>
    <row r="402">
      <c r="A402" s="154"/>
      <c r="B402" s="154"/>
      <c r="C402" s="155"/>
      <c r="D402" s="156"/>
      <c r="E402" s="155"/>
      <c r="F402" s="155"/>
      <c r="G402" s="155"/>
      <c r="H402" s="157"/>
      <c r="I402" s="154"/>
      <c r="J402" s="154"/>
      <c r="K402" s="154"/>
      <c r="L402" s="154"/>
      <c r="M402" s="154"/>
    </row>
    <row r="403">
      <c r="A403" s="154"/>
      <c r="B403" s="154"/>
      <c r="C403" s="155"/>
      <c r="D403" s="156"/>
      <c r="E403" s="155"/>
      <c r="F403" s="155"/>
      <c r="G403" s="155"/>
      <c r="H403" s="157"/>
      <c r="I403" s="154"/>
      <c r="J403" s="154"/>
      <c r="K403" s="154"/>
      <c r="L403" s="154"/>
      <c r="M403" s="154"/>
    </row>
    <row r="404">
      <c r="A404" s="154"/>
      <c r="B404" s="154"/>
      <c r="C404" s="155"/>
      <c r="D404" s="156"/>
      <c r="E404" s="155"/>
      <c r="F404" s="155"/>
      <c r="G404" s="155"/>
      <c r="H404" s="157"/>
      <c r="I404" s="154"/>
      <c r="J404" s="154"/>
      <c r="K404" s="154"/>
      <c r="L404" s="154"/>
      <c r="M404" s="154"/>
    </row>
    <row r="405">
      <c r="A405" s="154"/>
      <c r="B405" s="154"/>
      <c r="C405" s="155"/>
      <c r="D405" s="156"/>
      <c r="E405" s="155"/>
      <c r="F405" s="155"/>
      <c r="G405" s="155"/>
      <c r="H405" s="157"/>
      <c r="I405" s="154"/>
      <c r="J405" s="154"/>
      <c r="K405" s="154"/>
      <c r="L405" s="154"/>
      <c r="M405" s="154"/>
    </row>
    <row r="406">
      <c r="A406" s="154"/>
      <c r="B406" s="154"/>
      <c r="C406" s="155"/>
      <c r="D406" s="156"/>
      <c r="E406" s="155"/>
      <c r="F406" s="155"/>
      <c r="G406" s="155"/>
      <c r="H406" s="157"/>
      <c r="I406" s="154"/>
      <c r="J406" s="154"/>
      <c r="K406" s="154"/>
      <c r="L406" s="154"/>
      <c r="M406" s="154"/>
    </row>
    <row r="407">
      <c r="A407" s="154"/>
      <c r="B407" s="154"/>
      <c r="C407" s="155"/>
      <c r="D407" s="156"/>
      <c r="E407" s="155"/>
      <c r="F407" s="155"/>
      <c r="G407" s="155"/>
      <c r="H407" s="157"/>
      <c r="I407" s="154"/>
      <c r="J407" s="154"/>
      <c r="K407" s="154"/>
      <c r="L407" s="154"/>
      <c r="M407" s="154"/>
    </row>
    <row r="408">
      <c r="A408" s="154"/>
      <c r="B408" s="154"/>
      <c r="C408" s="155"/>
      <c r="D408" s="156"/>
      <c r="E408" s="155"/>
      <c r="F408" s="155"/>
      <c r="G408" s="155"/>
      <c r="H408" s="157"/>
      <c r="I408" s="154"/>
      <c r="J408" s="154"/>
      <c r="K408" s="154"/>
      <c r="L408" s="154"/>
      <c r="M408" s="154"/>
    </row>
    <row r="409">
      <c r="A409" s="154"/>
      <c r="B409" s="154"/>
      <c r="C409" s="155"/>
      <c r="D409" s="156"/>
      <c r="E409" s="155"/>
      <c r="F409" s="155"/>
      <c r="G409" s="155"/>
      <c r="H409" s="157"/>
      <c r="I409" s="154"/>
      <c r="J409" s="154"/>
      <c r="K409" s="154"/>
      <c r="L409" s="154"/>
      <c r="M409" s="154"/>
    </row>
    <row r="410">
      <c r="A410" s="154"/>
      <c r="B410" s="154"/>
      <c r="C410" s="155"/>
      <c r="D410" s="156"/>
      <c r="E410" s="155"/>
      <c r="F410" s="155"/>
      <c r="G410" s="155"/>
      <c r="H410" s="157"/>
      <c r="I410" s="154"/>
      <c r="J410" s="154"/>
      <c r="K410" s="154"/>
      <c r="L410" s="154"/>
      <c r="M410" s="154"/>
    </row>
    <row r="411">
      <c r="A411" s="154"/>
      <c r="B411" s="154"/>
      <c r="C411" s="155"/>
      <c r="D411" s="156"/>
      <c r="E411" s="155"/>
      <c r="F411" s="155"/>
      <c r="G411" s="155"/>
      <c r="H411" s="157"/>
      <c r="I411" s="154"/>
      <c r="J411" s="154"/>
      <c r="K411" s="154"/>
      <c r="L411" s="154"/>
      <c r="M411" s="154"/>
    </row>
    <row r="412">
      <c r="A412" s="154"/>
      <c r="B412" s="154"/>
      <c r="C412" s="155"/>
      <c r="D412" s="156"/>
      <c r="E412" s="155"/>
      <c r="F412" s="155"/>
      <c r="G412" s="155"/>
      <c r="H412" s="157"/>
      <c r="I412" s="154"/>
      <c r="J412" s="154"/>
      <c r="K412" s="154"/>
      <c r="L412" s="154"/>
      <c r="M412" s="154"/>
    </row>
    <row r="413">
      <c r="A413" s="154"/>
      <c r="B413" s="154"/>
      <c r="C413" s="155"/>
      <c r="D413" s="156"/>
      <c r="E413" s="155"/>
      <c r="F413" s="155"/>
      <c r="G413" s="155"/>
      <c r="H413" s="157"/>
      <c r="I413" s="154"/>
      <c r="J413" s="154"/>
      <c r="K413" s="154"/>
      <c r="L413" s="154"/>
      <c r="M413" s="154"/>
    </row>
    <row r="414">
      <c r="A414" s="154"/>
      <c r="B414" s="154"/>
      <c r="C414" s="155"/>
      <c r="D414" s="156"/>
      <c r="E414" s="155"/>
      <c r="F414" s="155"/>
      <c r="G414" s="155"/>
      <c r="H414" s="157"/>
      <c r="I414" s="154"/>
      <c r="J414" s="154"/>
      <c r="K414" s="154"/>
      <c r="L414" s="154"/>
      <c r="M414" s="154"/>
    </row>
    <row r="415">
      <c r="A415" s="154"/>
      <c r="B415" s="154"/>
      <c r="C415" s="155"/>
      <c r="D415" s="156"/>
      <c r="E415" s="155"/>
      <c r="F415" s="155"/>
      <c r="G415" s="155"/>
      <c r="H415" s="157"/>
      <c r="I415" s="154"/>
      <c r="J415" s="154"/>
      <c r="K415" s="154"/>
      <c r="L415" s="154"/>
      <c r="M415" s="154"/>
    </row>
    <row r="416">
      <c r="A416" s="154"/>
      <c r="B416" s="154"/>
      <c r="C416" s="155"/>
      <c r="D416" s="156"/>
      <c r="E416" s="155"/>
      <c r="F416" s="155"/>
      <c r="G416" s="155"/>
      <c r="H416" s="157"/>
      <c r="I416" s="154"/>
      <c r="J416" s="154"/>
      <c r="K416" s="154"/>
      <c r="L416" s="154"/>
      <c r="M416" s="154"/>
    </row>
    <row r="417">
      <c r="A417" s="154"/>
      <c r="B417" s="154"/>
      <c r="C417" s="155"/>
      <c r="D417" s="156"/>
      <c r="E417" s="155"/>
      <c r="F417" s="155"/>
      <c r="G417" s="155"/>
      <c r="H417" s="157"/>
      <c r="I417" s="154"/>
      <c r="J417" s="154"/>
      <c r="K417" s="154"/>
      <c r="L417" s="154"/>
      <c r="M417" s="154"/>
    </row>
    <row r="418">
      <c r="A418" s="154"/>
      <c r="B418" s="154"/>
      <c r="C418" s="155"/>
      <c r="D418" s="156"/>
      <c r="E418" s="155"/>
      <c r="F418" s="155"/>
      <c r="G418" s="155"/>
      <c r="H418" s="157"/>
      <c r="I418" s="154"/>
      <c r="J418" s="154"/>
      <c r="K418" s="154"/>
      <c r="L418" s="154"/>
      <c r="M418" s="154"/>
    </row>
    <row r="419">
      <c r="A419" s="154"/>
      <c r="B419" s="154"/>
      <c r="C419" s="155"/>
      <c r="D419" s="156"/>
      <c r="E419" s="155"/>
      <c r="F419" s="155"/>
      <c r="G419" s="155"/>
      <c r="H419" s="157"/>
      <c r="I419" s="154"/>
      <c r="J419" s="154"/>
      <c r="K419" s="154"/>
      <c r="L419" s="154"/>
      <c r="M419" s="154"/>
    </row>
    <row r="420">
      <c r="A420" s="154"/>
      <c r="B420" s="154"/>
      <c r="C420" s="155"/>
      <c r="D420" s="156"/>
      <c r="E420" s="155"/>
      <c r="F420" s="155"/>
      <c r="G420" s="155"/>
      <c r="H420" s="157"/>
      <c r="I420" s="154"/>
      <c r="J420" s="154"/>
      <c r="K420" s="154"/>
      <c r="L420" s="154"/>
      <c r="M420" s="154"/>
    </row>
    <row r="421">
      <c r="A421" s="154"/>
      <c r="B421" s="154"/>
      <c r="C421" s="155"/>
      <c r="D421" s="156"/>
      <c r="E421" s="155"/>
      <c r="F421" s="155"/>
      <c r="G421" s="155"/>
      <c r="H421" s="157"/>
      <c r="I421" s="154"/>
      <c r="J421" s="154"/>
      <c r="K421" s="154"/>
      <c r="L421" s="154"/>
      <c r="M421" s="154"/>
    </row>
    <row r="422">
      <c r="A422" s="154"/>
      <c r="B422" s="154"/>
      <c r="C422" s="155"/>
      <c r="D422" s="156"/>
      <c r="E422" s="155"/>
      <c r="F422" s="155"/>
      <c r="G422" s="155"/>
      <c r="H422" s="157"/>
      <c r="I422" s="154"/>
      <c r="J422" s="154"/>
      <c r="K422" s="154"/>
      <c r="L422" s="154"/>
      <c r="M422" s="154"/>
    </row>
    <row r="423">
      <c r="A423" s="154"/>
      <c r="B423" s="154"/>
      <c r="C423" s="155"/>
      <c r="D423" s="156"/>
      <c r="E423" s="155"/>
      <c r="F423" s="155"/>
      <c r="G423" s="155"/>
      <c r="H423" s="157"/>
      <c r="I423" s="154"/>
      <c r="J423" s="154"/>
      <c r="K423" s="154"/>
      <c r="L423" s="154"/>
      <c r="M423" s="154"/>
    </row>
    <row r="424">
      <c r="A424" s="154"/>
      <c r="B424" s="154"/>
      <c r="C424" s="155"/>
      <c r="D424" s="156"/>
      <c r="E424" s="155"/>
      <c r="F424" s="155"/>
      <c r="G424" s="155"/>
      <c r="H424" s="157"/>
      <c r="I424" s="154"/>
      <c r="J424" s="154"/>
      <c r="K424" s="154"/>
      <c r="L424" s="154"/>
      <c r="M424" s="154"/>
    </row>
    <row r="425">
      <c r="A425" s="154"/>
      <c r="B425" s="154"/>
      <c r="C425" s="155"/>
      <c r="D425" s="156"/>
      <c r="E425" s="155"/>
      <c r="F425" s="155"/>
      <c r="G425" s="155"/>
      <c r="H425" s="157"/>
      <c r="I425" s="154"/>
      <c r="J425" s="154"/>
      <c r="K425" s="154"/>
      <c r="L425" s="154"/>
      <c r="M425" s="154"/>
    </row>
    <row r="426">
      <c r="A426" s="154"/>
      <c r="B426" s="154"/>
      <c r="C426" s="155"/>
      <c r="D426" s="156"/>
      <c r="E426" s="155"/>
      <c r="F426" s="155"/>
      <c r="G426" s="155"/>
      <c r="H426" s="157"/>
      <c r="I426" s="154"/>
      <c r="J426" s="154"/>
      <c r="K426" s="154"/>
      <c r="L426" s="154"/>
      <c r="M426" s="154"/>
    </row>
    <row r="427">
      <c r="A427" s="154"/>
      <c r="B427" s="154"/>
      <c r="C427" s="155"/>
      <c r="D427" s="156"/>
      <c r="E427" s="155"/>
      <c r="F427" s="155"/>
      <c r="G427" s="155"/>
      <c r="H427" s="157"/>
      <c r="I427" s="154"/>
      <c r="J427" s="154"/>
      <c r="K427" s="154"/>
      <c r="L427" s="154"/>
      <c r="M427" s="154"/>
    </row>
    <row r="428">
      <c r="A428" s="154"/>
      <c r="B428" s="154"/>
      <c r="C428" s="155"/>
      <c r="D428" s="156"/>
      <c r="E428" s="155"/>
      <c r="F428" s="155"/>
      <c r="G428" s="155"/>
      <c r="H428" s="157"/>
      <c r="I428" s="154"/>
      <c r="J428" s="154"/>
      <c r="K428" s="154"/>
      <c r="L428" s="154"/>
      <c r="M428" s="154"/>
    </row>
    <row r="429">
      <c r="A429" s="154"/>
      <c r="B429" s="154"/>
      <c r="C429" s="155"/>
      <c r="D429" s="156"/>
      <c r="E429" s="155"/>
      <c r="F429" s="155"/>
      <c r="G429" s="155"/>
      <c r="H429" s="157"/>
      <c r="I429" s="154"/>
      <c r="J429" s="154"/>
      <c r="K429" s="154"/>
      <c r="L429" s="154"/>
      <c r="M429" s="154"/>
    </row>
    <row r="430">
      <c r="A430" s="154"/>
      <c r="B430" s="154"/>
      <c r="C430" s="155"/>
      <c r="D430" s="156"/>
      <c r="E430" s="155"/>
      <c r="F430" s="155"/>
      <c r="G430" s="155"/>
      <c r="H430" s="157"/>
      <c r="I430" s="154"/>
      <c r="J430" s="154"/>
      <c r="K430" s="154"/>
      <c r="L430" s="154"/>
      <c r="M430" s="154"/>
    </row>
    <row r="431">
      <c r="A431" s="154"/>
      <c r="B431" s="154"/>
      <c r="C431" s="155"/>
      <c r="D431" s="156"/>
      <c r="E431" s="155"/>
      <c r="F431" s="155"/>
      <c r="G431" s="155"/>
      <c r="H431" s="157"/>
      <c r="I431" s="154"/>
      <c r="J431" s="154"/>
      <c r="K431" s="154"/>
      <c r="L431" s="154"/>
      <c r="M431" s="154"/>
    </row>
    <row r="432">
      <c r="A432" s="154"/>
      <c r="B432" s="154"/>
      <c r="C432" s="155"/>
      <c r="D432" s="156"/>
      <c r="E432" s="155"/>
      <c r="F432" s="155"/>
      <c r="G432" s="155"/>
      <c r="H432" s="157"/>
      <c r="I432" s="154"/>
      <c r="J432" s="154"/>
      <c r="K432" s="154"/>
      <c r="L432" s="154"/>
      <c r="M432" s="154"/>
    </row>
    <row r="433">
      <c r="A433" s="154"/>
      <c r="B433" s="154"/>
      <c r="C433" s="155"/>
      <c r="D433" s="156"/>
      <c r="E433" s="155"/>
      <c r="F433" s="155"/>
      <c r="G433" s="155"/>
      <c r="H433" s="157"/>
      <c r="I433" s="154"/>
      <c r="J433" s="154"/>
      <c r="K433" s="154"/>
      <c r="L433" s="154"/>
      <c r="M433" s="154"/>
    </row>
    <row r="434">
      <c r="A434" s="154"/>
      <c r="B434" s="154"/>
      <c r="C434" s="155"/>
      <c r="D434" s="156"/>
      <c r="E434" s="155"/>
      <c r="F434" s="155"/>
      <c r="G434" s="155"/>
      <c r="H434" s="157"/>
      <c r="I434" s="154"/>
      <c r="J434" s="154"/>
      <c r="K434" s="154"/>
      <c r="L434" s="154"/>
      <c r="M434" s="154"/>
    </row>
    <row r="435">
      <c r="A435" s="154"/>
      <c r="B435" s="154"/>
      <c r="C435" s="155"/>
      <c r="D435" s="156"/>
      <c r="E435" s="155"/>
      <c r="F435" s="155"/>
      <c r="G435" s="155"/>
      <c r="H435" s="157"/>
      <c r="I435" s="154"/>
      <c r="J435" s="154"/>
      <c r="K435" s="154"/>
      <c r="L435" s="154"/>
      <c r="M435" s="154"/>
    </row>
    <row r="436">
      <c r="A436" s="154"/>
      <c r="B436" s="154"/>
      <c r="C436" s="155"/>
      <c r="D436" s="156"/>
      <c r="E436" s="155"/>
      <c r="F436" s="155"/>
      <c r="G436" s="155"/>
      <c r="H436" s="157"/>
      <c r="I436" s="154"/>
      <c r="J436" s="154"/>
      <c r="K436" s="154"/>
      <c r="L436" s="154"/>
      <c r="M436" s="154"/>
    </row>
    <row r="437">
      <c r="A437" s="154"/>
      <c r="B437" s="154"/>
      <c r="C437" s="155"/>
      <c r="D437" s="156"/>
      <c r="E437" s="155"/>
      <c r="F437" s="155"/>
      <c r="G437" s="155"/>
      <c r="H437" s="157"/>
      <c r="I437" s="154"/>
      <c r="J437" s="154"/>
      <c r="K437" s="154"/>
      <c r="L437" s="154"/>
      <c r="M437" s="154"/>
    </row>
    <row r="438">
      <c r="A438" s="154"/>
      <c r="B438" s="154"/>
      <c r="C438" s="155"/>
      <c r="D438" s="156"/>
      <c r="E438" s="155"/>
      <c r="F438" s="155"/>
      <c r="G438" s="155"/>
      <c r="H438" s="157"/>
      <c r="I438" s="154"/>
      <c r="J438" s="154"/>
      <c r="K438" s="154"/>
      <c r="L438" s="154"/>
      <c r="M438" s="154"/>
    </row>
    <row r="439">
      <c r="A439" s="154"/>
      <c r="B439" s="154"/>
      <c r="C439" s="155"/>
      <c r="D439" s="156"/>
      <c r="E439" s="155"/>
      <c r="F439" s="155"/>
      <c r="G439" s="155"/>
      <c r="H439" s="157"/>
      <c r="I439" s="154"/>
      <c r="J439" s="154"/>
      <c r="K439" s="154"/>
      <c r="L439" s="154"/>
      <c r="M439" s="154"/>
    </row>
    <row r="440">
      <c r="A440" s="154"/>
      <c r="B440" s="154"/>
      <c r="C440" s="155"/>
      <c r="D440" s="156"/>
      <c r="E440" s="155"/>
      <c r="F440" s="155"/>
      <c r="G440" s="155"/>
      <c r="H440" s="157"/>
      <c r="I440" s="154"/>
      <c r="J440" s="154"/>
      <c r="K440" s="154"/>
      <c r="L440" s="154"/>
      <c r="M440" s="154"/>
    </row>
    <row r="441">
      <c r="A441" s="154"/>
      <c r="B441" s="154"/>
      <c r="C441" s="155"/>
      <c r="D441" s="156"/>
      <c r="E441" s="155"/>
      <c r="F441" s="155"/>
      <c r="G441" s="155"/>
      <c r="H441" s="157"/>
      <c r="I441" s="154"/>
      <c r="J441" s="154"/>
      <c r="K441" s="154"/>
      <c r="L441" s="154"/>
      <c r="M441" s="154"/>
    </row>
    <row r="442">
      <c r="A442" s="154"/>
      <c r="B442" s="154"/>
      <c r="C442" s="155"/>
      <c r="D442" s="156"/>
      <c r="E442" s="155"/>
      <c r="F442" s="155"/>
      <c r="G442" s="155"/>
      <c r="H442" s="157"/>
      <c r="I442" s="154"/>
      <c r="J442" s="154"/>
      <c r="K442" s="154"/>
      <c r="L442" s="154"/>
      <c r="M442" s="154"/>
    </row>
    <row r="443">
      <c r="A443" s="154"/>
      <c r="B443" s="154"/>
      <c r="C443" s="155"/>
      <c r="D443" s="156"/>
      <c r="E443" s="155"/>
      <c r="F443" s="155"/>
      <c r="G443" s="155"/>
      <c r="H443" s="157"/>
      <c r="I443" s="154"/>
      <c r="J443" s="154"/>
      <c r="K443" s="154"/>
      <c r="L443" s="154"/>
      <c r="M443" s="154"/>
    </row>
    <row r="444">
      <c r="A444" s="154"/>
      <c r="B444" s="154"/>
      <c r="C444" s="155"/>
      <c r="D444" s="156"/>
      <c r="E444" s="155"/>
      <c r="F444" s="155"/>
      <c r="G444" s="155"/>
      <c r="H444" s="157"/>
      <c r="I444" s="154"/>
      <c r="J444" s="154"/>
      <c r="K444" s="154"/>
      <c r="L444" s="154"/>
      <c r="M444" s="154"/>
    </row>
    <row r="445">
      <c r="A445" s="154"/>
      <c r="B445" s="154"/>
      <c r="C445" s="155"/>
      <c r="D445" s="156"/>
      <c r="E445" s="155"/>
      <c r="F445" s="155"/>
      <c r="G445" s="155"/>
      <c r="H445" s="157"/>
      <c r="I445" s="154"/>
      <c r="J445" s="154"/>
      <c r="K445" s="154"/>
      <c r="L445" s="154"/>
      <c r="M445" s="154"/>
    </row>
    <row r="446">
      <c r="A446" s="154"/>
      <c r="B446" s="154"/>
      <c r="C446" s="155"/>
      <c r="D446" s="156"/>
      <c r="E446" s="155"/>
      <c r="F446" s="155"/>
      <c r="G446" s="155"/>
      <c r="H446" s="157"/>
      <c r="I446" s="154"/>
      <c r="J446" s="154"/>
      <c r="K446" s="154"/>
      <c r="L446" s="154"/>
      <c r="M446" s="154"/>
    </row>
    <row r="447">
      <c r="A447" s="154"/>
      <c r="B447" s="154"/>
      <c r="C447" s="155"/>
      <c r="D447" s="156"/>
      <c r="E447" s="155"/>
      <c r="F447" s="155"/>
      <c r="G447" s="155"/>
      <c r="H447" s="157"/>
      <c r="I447" s="154"/>
      <c r="J447" s="154"/>
      <c r="K447" s="154"/>
      <c r="L447" s="154"/>
      <c r="M447" s="154"/>
    </row>
    <row r="448">
      <c r="A448" s="154"/>
      <c r="B448" s="154"/>
      <c r="C448" s="155"/>
      <c r="D448" s="156"/>
      <c r="E448" s="155"/>
      <c r="F448" s="155"/>
      <c r="G448" s="155"/>
      <c r="H448" s="157"/>
      <c r="I448" s="154"/>
      <c r="J448" s="154"/>
      <c r="K448" s="154"/>
      <c r="L448" s="154"/>
      <c r="M448" s="154"/>
    </row>
    <row r="449">
      <c r="A449" s="154"/>
      <c r="B449" s="154"/>
      <c r="C449" s="155"/>
      <c r="D449" s="156"/>
      <c r="E449" s="155"/>
      <c r="F449" s="155"/>
      <c r="G449" s="155"/>
      <c r="H449" s="157"/>
      <c r="I449" s="154"/>
      <c r="J449" s="154"/>
      <c r="K449" s="154"/>
      <c r="L449" s="154"/>
      <c r="M449" s="154"/>
    </row>
    <row r="450">
      <c r="A450" s="154"/>
      <c r="B450" s="154"/>
      <c r="C450" s="155"/>
      <c r="D450" s="156"/>
      <c r="E450" s="155"/>
      <c r="F450" s="155"/>
      <c r="G450" s="155"/>
      <c r="H450" s="157"/>
      <c r="I450" s="154"/>
      <c r="J450" s="154"/>
      <c r="K450" s="154"/>
      <c r="L450" s="154"/>
      <c r="M450" s="154"/>
    </row>
    <row r="451">
      <c r="A451" s="154"/>
      <c r="B451" s="154"/>
      <c r="C451" s="155"/>
      <c r="D451" s="156"/>
      <c r="E451" s="155"/>
      <c r="F451" s="155"/>
      <c r="G451" s="155"/>
      <c r="H451" s="157"/>
      <c r="I451" s="154"/>
      <c r="J451" s="154"/>
      <c r="K451" s="154"/>
      <c r="L451" s="154"/>
      <c r="M451" s="154"/>
    </row>
    <row r="452">
      <c r="A452" s="154"/>
      <c r="B452" s="154"/>
      <c r="C452" s="155"/>
      <c r="D452" s="156"/>
      <c r="E452" s="155"/>
      <c r="F452" s="155"/>
      <c r="G452" s="155"/>
      <c r="H452" s="157"/>
      <c r="I452" s="154"/>
      <c r="J452" s="154"/>
      <c r="K452" s="154"/>
      <c r="L452" s="154"/>
      <c r="M452" s="154"/>
    </row>
    <row r="453">
      <c r="A453" s="154"/>
      <c r="B453" s="154"/>
      <c r="C453" s="155"/>
      <c r="D453" s="156"/>
      <c r="E453" s="155"/>
      <c r="F453" s="155"/>
      <c r="G453" s="155"/>
      <c r="H453" s="157"/>
      <c r="I453" s="154"/>
      <c r="J453" s="154"/>
      <c r="K453" s="154"/>
      <c r="L453" s="154"/>
      <c r="M453" s="154"/>
    </row>
    <row r="454">
      <c r="A454" s="154"/>
      <c r="B454" s="154"/>
      <c r="C454" s="155"/>
      <c r="D454" s="156"/>
      <c r="E454" s="155"/>
      <c r="F454" s="155"/>
      <c r="G454" s="155"/>
      <c r="H454" s="157"/>
      <c r="I454" s="154"/>
      <c r="J454" s="154"/>
      <c r="K454" s="154"/>
      <c r="L454" s="154"/>
      <c r="M454" s="154"/>
    </row>
    <row r="455">
      <c r="A455" s="154"/>
      <c r="B455" s="154"/>
      <c r="C455" s="155"/>
      <c r="D455" s="156"/>
      <c r="E455" s="155"/>
      <c r="F455" s="155"/>
      <c r="G455" s="155"/>
      <c r="H455" s="157"/>
      <c r="I455" s="154"/>
      <c r="J455" s="154"/>
      <c r="K455" s="154"/>
      <c r="L455" s="154"/>
      <c r="M455" s="154"/>
    </row>
    <row r="456">
      <c r="A456" s="154"/>
      <c r="B456" s="154"/>
      <c r="C456" s="155"/>
      <c r="D456" s="156"/>
      <c r="E456" s="155"/>
      <c r="F456" s="155"/>
      <c r="G456" s="155"/>
      <c r="H456" s="157"/>
      <c r="I456" s="154"/>
      <c r="J456" s="154"/>
      <c r="K456" s="154"/>
      <c r="L456" s="154"/>
      <c r="M456" s="154"/>
    </row>
    <row r="457">
      <c r="A457" s="154"/>
      <c r="B457" s="154"/>
      <c r="C457" s="155"/>
      <c r="D457" s="156"/>
      <c r="E457" s="155"/>
      <c r="F457" s="155"/>
      <c r="G457" s="155"/>
      <c r="H457" s="157"/>
      <c r="I457" s="154"/>
      <c r="J457" s="154"/>
      <c r="K457" s="154"/>
      <c r="L457" s="154"/>
      <c r="M457" s="154"/>
    </row>
    <row r="458">
      <c r="A458" s="154"/>
      <c r="B458" s="154"/>
      <c r="C458" s="155"/>
      <c r="D458" s="156"/>
      <c r="E458" s="155"/>
      <c r="F458" s="155"/>
      <c r="G458" s="155"/>
      <c r="H458" s="157"/>
      <c r="I458" s="154"/>
      <c r="J458" s="154"/>
      <c r="K458" s="154"/>
      <c r="L458" s="154"/>
      <c r="M458" s="154"/>
    </row>
    <row r="459">
      <c r="A459" s="154"/>
      <c r="B459" s="154"/>
      <c r="C459" s="155"/>
      <c r="D459" s="156"/>
      <c r="E459" s="155"/>
      <c r="F459" s="155"/>
      <c r="G459" s="155"/>
      <c r="H459" s="157"/>
      <c r="I459" s="154"/>
      <c r="J459" s="154"/>
      <c r="K459" s="154"/>
      <c r="L459" s="154"/>
      <c r="M459" s="154"/>
    </row>
    <row r="460">
      <c r="A460" s="154"/>
      <c r="B460" s="154"/>
      <c r="C460" s="155"/>
      <c r="D460" s="156"/>
      <c r="E460" s="155"/>
      <c r="F460" s="155"/>
      <c r="G460" s="155"/>
      <c r="H460" s="157"/>
      <c r="I460" s="154"/>
      <c r="J460" s="154"/>
      <c r="K460" s="154"/>
      <c r="L460" s="154"/>
      <c r="M460" s="154"/>
    </row>
    <row r="461">
      <c r="A461" s="154"/>
      <c r="B461" s="154"/>
      <c r="C461" s="155"/>
      <c r="D461" s="156"/>
      <c r="E461" s="155"/>
      <c r="F461" s="155"/>
      <c r="G461" s="155"/>
      <c r="H461" s="157"/>
      <c r="I461" s="154"/>
      <c r="J461" s="154"/>
      <c r="K461" s="154"/>
      <c r="L461" s="154"/>
      <c r="M461" s="154"/>
    </row>
    <row r="462">
      <c r="A462" s="154"/>
      <c r="B462" s="154"/>
      <c r="C462" s="155"/>
      <c r="D462" s="156"/>
      <c r="E462" s="155"/>
      <c r="F462" s="155"/>
      <c r="G462" s="155"/>
      <c r="H462" s="157"/>
      <c r="I462" s="154"/>
      <c r="J462" s="154"/>
      <c r="K462" s="154"/>
      <c r="L462" s="154"/>
      <c r="M462" s="154"/>
    </row>
    <row r="463">
      <c r="A463" s="154"/>
      <c r="B463" s="154"/>
      <c r="C463" s="155"/>
      <c r="D463" s="156"/>
      <c r="E463" s="155"/>
      <c r="F463" s="155"/>
      <c r="G463" s="155"/>
      <c r="H463" s="157"/>
      <c r="I463" s="154"/>
      <c r="J463" s="154"/>
      <c r="K463" s="154"/>
      <c r="L463" s="154"/>
      <c r="M463" s="154"/>
    </row>
    <row r="464">
      <c r="A464" s="154"/>
      <c r="B464" s="154"/>
      <c r="C464" s="155"/>
      <c r="D464" s="156"/>
      <c r="E464" s="155"/>
      <c r="F464" s="155"/>
      <c r="G464" s="155"/>
      <c r="H464" s="157"/>
      <c r="I464" s="154"/>
      <c r="J464" s="154"/>
      <c r="K464" s="154"/>
      <c r="L464" s="154"/>
      <c r="M464" s="154"/>
    </row>
    <row r="465">
      <c r="A465" s="154"/>
      <c r="B465" s="154"/>
      <c r="C465" s="155"/>
      <c r="D465" s="156"/>
      <c r="E465" s="155"/>
      <c r="F465" s="155"/>
      <c r="G465" s="155"/>
      <c r="H465" s="157"/>
      <c r="I465" s="154"/>
      <c r="J465" s="154"/>
      <c r="K465" s="154"/>
      <c r="L465" s="154"/>
      <c r="M465" s="154"/>
    </row>
    <row r="466">
      <c r="A466" s="154"/>
      <c r="B466" s="154"/>
      <c r="C466" s="155"/>
      <c r="D466" s="156"/>
      <c r="E466" s="155"/>
      <c r="F466" s="155"/>
      <c r="G466" s="155"/>
      <c r="H466" s="157"/>
      <c r="I466" s="154"/>
      <c r="J466" s="154"/>
      <c r="K466" s="154"/>
      <c r="L466" s="154"/>
      <c r="M466" s="154"/>
    </row>
    <row r="467">
      <c r="A467" s="154"/>
      <c r="B467" s="154"/>
      <c r="C467" s="155"/>
      <c r="D467" s="156"/>
      <c r="E467" s="155"/>
      <c r="F467" s="155"/>
      <c r="G467" s="155"/>
      <c r="H467" s="157"/>
      <c r="I467" s="154"/>
      <c r="J467" s="154"/>
      <c r="K467" s="154"/>
      <c r="L467" s="154"/>
      <c r="M467" s="154"/>
    </row>
    <row r="468">
      <c r="A468" s="154"/>
      <c r="B468" s="154"/>
      <c r="C468" s="155"/>
      <c r="D468" s="156"/>
      <c r="E468" s="155"/>
      <c r="F468" s="155"/>
      <c r="G468" s="155"/>
      <c r="H468" s="157"/>
      <c r="I468" s="154"/>
      <c r="J468" s="154"/>
      <c r="K468" s="154"/>
      <c r="L468" s="154"/>
      <c r="M468" s="154"/>
    </row>
    <row r="469">
      <c r="A469" s="154"/>
      <c r="B469" s="154"/>
      <c r="C469" s="155"/>
      <c r="D469" s="156"/>
      <c r="E469" s="155"/>
      <c r="F469" s="155"/>
      <c r="G469" s="155"/>
      <c r="H469" s="157"/>
      <c r="I469" s="154"/>
      <c r="J469" s="154"/>
      <c r="K469" s="154"/>
      <c r="L469" s="154"/>
      <c r="M469" s="154"/>
    </row>
    <row r="470">
      <c r="A470" s="154"/>
      <c r="B470" s="154"/>
      <c r="C470" s="155"/>
      <c r="D470" s="156"/>
      <c r="E470" s="155"/>
      <c r="F470" s="155"/>
      <c r="G470" s="155"/>
      <c r="H470" s="157"/>
      <c r="I470" s="154"/>
      <c r="J470" s="154"/>
      <c r="K470" s="154"/>
      <c r="L470" s="154"/>
      <c r="M470" s="154"/>
    </row>
    <row r="471">
      <c r="A471" s="154"/>
      <c r="B471" s="154"/>
      <c r="C471" s="155"/>
      <c r="D471" s="156"/>
      <c r="E471" s="155"/>
      <c r="F471" s="155"/>
      <c r="G471" s="155"/>
      <c r="H471" s="157"/>
      <c r="I471" s="154"/>
      <c r="J471" s="154"/>
      <c r="K471" s="154"/>
      <c r="L471" s="154"/>
      <c r="M471" s="154"/>
    </row>
    <row r="472">
      <c r="A472" s="154"/>
      <c r="B472" s="154"/>
      <c r="C472" s="155"/>
      <c r="D472" s="156"/>
      <c r="E472" s="155"/>
      <c r="F472" s="155"/>
      <c r="G472" s="155"/>
      <c r="H472" s="157"/>
      <c r="I472" s="154"/>
      <c r="J472" s="154"/>
      <c r="K472" s="154"/>
      <c r="L472" s="154"/>
      <c r="M472" s="154"/>
    </row>
    <row r="473">
      <c r="A473" s="154"/>
      <c r="B473" s="154"/>
      <c r="C473" s="155"/>
      <c r="D473" s="156"/>
      <c r="E473" s="155"/>
      <c r="F473" s="155"/>
      <c r="G473" s="155"/>
      <c r="H473" s="157"/>
      <c r="I473" s="154"/>
      <c r="J473" s="154"/>
      <c r="K473" s="154"/>
      <c r="L473" s="154"/>
      <c r="M473" s="154"/>
    </row>
    <row r="474">
      <c r="A474" s="154"/>
      <c r="B474" s="154"/>
      <c r="C474" s="155"/>
      <c r="D474" s="156"/>
      <c r="E474" s="155"/>
      <c r="F474" s="155"/>
      <c r="G474" s="155"/>
      <c r="H474" s="157"/>
      <c r="I474" s="154"/>
      <c r="J474" s="154"/>
      <c r="K474" s="154"/>
      <c r="L474" s="154"/>
      <c r="M474" s="154"/>
    </row>
    <row r="475">
      <c r="A475" s="154"/>
      <c r="B475" s="154"/>
      <c r="C475" s="155"/>
      <c r="D475" s="156"/>
      <c r="E475" s="155"/>
      <c r="F475" s="155"/>
      <c r="G475" s="155"/>
      <c r="H475" s="157"/>
      <c r="I475" s="154"/>
      <c r="J475" s="154"/>
      <c r="K475" s="154"/>
      <c r="L475" s="154"/>
      <c r="M475" s="154"/>
    </row>
    <row r="476">
      <c r="A476" s="154"/>
      <c r="B476" s="154"/>
      <c r="C476" s="155"/>
      <c r="D476" s="156"/>
      <c r="E476" s="155"/>
      <c r="F476" s="155"/>
      <c r="G476" s="155"/>
      <c r="H476" s="157"/>
      <c r="I476" s="154"/>
      <c r="J476" s="154"/>
      <c r="K476" s="154"/>
      <c r="L476" s="154"/>
      <c r="M476" s="154"/>
    </row>
    <row r="477">
      <c r="A477" s="154"/>
      <c r="B477" s="154"/>
      <c r="C477" s="155"/>
      <c r="D477" s="156"/>
      <c r="E477" s="155"/>
      <c r="F477" s="155"/>
      <c r="G477" s="155"/>
      <c r="H477" s="157"/>
      <c r="I477" s="154"/>
      <c r="J477" s="154"/>
      <c r="K477" s="154"/>
      <c r="L477" s="154"/>
      <c r="M477" s="154"/>
    </row>
    <row r="478">
      <c r="A478" s="154"/>
      <c r="B478" s="154"/>
      <c r="C478" s="155"/>
      <c r="D478" s="156"/>
      <c r="E478" s="155"/>
      <c r="F478" s="155"/>
      <c r="G478" s="155"/>
      <c r="H478" s="157"/>
      <c r="I478" s="154"/>
      <c r="J478" s="154"/>
      <c r="K478" s="154"/>
      <c r="L478" s="154"/>
      <c r="M478" s="154"/>
    </row>
    <row r="479">
      <c r="A479" s="154"/>
      <c r="B479" s="154"/>
      <c r="C479" s="155"/>
      <c r="D479" s="156"/>
      <c r="E479" s="155"/>
      <c r="F479" s="155"/>
      <c r="G479" s="155"/>
      <c r="H479" s="157"/>
      <c r="I479" s="154"/>
      <c r="J479" s="154"/>
      <c r="K479" s="154"/>
      <c r="L479" s="154"/>
      <c r="M479" s="154"/>
    </row>
    <row r="480">
      <c r="A480" s="154"/>
      <c r="B480" s="154"/>
      <c r="C480" s="155"/>
      <c r="D480" s="156"/>
      <c r="E480" s="155"/>
      <c r="F480" s="155"/>
      <c r="G480" s="155"/>
      <c r="H480" s="157"/>
      <c r="I480" s="154"/>
      <c r="J480" s="154"/>
      <c r="K480" s="154"/>
      <c r="L480" s="154"/>
      <c r="M480" s="154"/>
    </row>
    <row r="481">
      <c r="A481" s="154"/>
      <c r="B481" s="154"/>
      <c r="C481" s="155"/>
      <c r="D481" s="156"/>
      <c r="E481" s="155"/>
      <c r="F481" s="155"/>
      <c r="G481" s="155"/>
      <c r="H481" s="157"/>
      <c r="I481" s="154"/>
      <c r="J481" s="154"/>
      <c r="K481" s="154"/>
      <c r="L481" s="154"/>
      <c r="M481" s="154"/>
    </row>
    <row r="482">
      <c r="A482" s="154"/>
      <c r="B482" s="154"/>
      <c r="C482" s="155"/>
      <c r="D482" s="156"/>
      <c r="E482" s="155"/>
      <c r="F482" s="155"/>
      <c r="G482" s="155"/>
      <c r="H482" s="157"/>
      <c r="I482" s="154"/>
      <c r="J482" s="154"/>
      <c r="K482" s="154"/>
      <c r="L482" s="154"/>
      <c r="M482" s="154"/>
    </row>
    <row r="483">
      <c r="A483" s="154"/>
      <c r="B483" s="154"/>
      <c r="C483" s="155"/>
      <c r="D483" s="156"/>
      <c r="E483" s="155"/>
      <c r="F483" s="155"/>
      <c r="G483" s="155"/>
      <c r="H483" s="157"/>
      <c r="I483" s="154"/>
      <c r="J483" s="154"/>
      <c r="K483" s="154"/>
      <c r="L483" s="154"/>
      <c r="M483" s="154"/>
    </row>
    <row r="484">
      <c r="A484" s="154"/>
      <c r="B484" s="154"/>
      <c r="C484" s="155"/>
      <c r="D484" s="156"/>
      <c r="E484" s="155"/>
      <c r="F484" s="155"/>
      <c r="G484" s="155"/>
      <c r="H484" s="157"/>
      <c r="I484" s="154"/>
      <c r="J484" s="154"/>
      <c r="K484" s="154"/>
      <c r="L484" s="154"/>
      <c r="M484" s="154"/>
    </row>
    <row r="485">
      <c r="A485" s="154"/>
      <c r="B485" s="154"/>
      <c r="C485" s="155"/>
      <c r="D485" s="156"/>
      <c r="E485" s="155"/>
      <c r="F485" s="155"/>
      <c r="G485" s="155"/>
      <c r="H485" s="157"/>
      <c r="I485" s="154"/>
      <c r="J485" s="154"/>
      <c r="K485" s="154"/>
      <c r="L485" s="154"/>
      <c r="M485" s="154"/>
    </row>
    <row r="486">
      <c r="A486" s="154"/>
      <c r="B486" s="154"/>
      <c r="C486" s="155"/>
      <c r="D486" s="156"/>
      <c r="E486" s="155"/>
      <c r="F486" s="155"/>
      <c r="G486" s="155"/>
      <c r="H486" s="157"/>
      <c r="I486" s="154"/>
      <c r="J486" s="154"/>
      <c r="K486" s="154"/>
      <c r="L486" s="154"/>
      <c r="M486" s="154"/>
    </row>
    <row r="487">
      <c r="A487" s="154"/>
      <c r="B487" s="154"/>
      <c r="C487" s="155"/>
      <c r="D487" s="156"/>
      <c r="E487" s="155"/>
      <c r="F487" s="155"/>
      <c r="G487" s="155"/>
      <c r="H487" s="157"/>
      <c r="I487" s="154"/>
      <c r="J487" s="154"/>
      <c r="K487" s="154"/>
      <c r="L487" s="154"/>
      <c r="M487" s="154"/>
    </row>
    <row r="488">
      <c r="A488" s="154"/>
      <c r="B488" s="154"/>
      <c r="C488" s="155"/>
      <c r="D488" s="156"/>
      <c r="E488" s="155"/>
      <c r="F488" s="155"/>
      <c r="G488" s="155"/>
      <c r="H488" s="157"/>
      <c r="I488" s="154"/>
      <c r="J488" s="154"/>
      <c r="K488" s="154"/>
      <c r="L488" s="154"/>
      <c r="M488" s="154"/>
    </row>
    <row r="489">
      <c r="A489" s="154"/>
      <c r="B489" s="154"/>
      <c r="C489" s="155"/>
      <c r="D489" s="156"/>
      <c r="E489" s="155"/>
      <c r="F489" s="155"/>
      <c r="G489" s="155"/>
      <c r="H489" s="157"/>
      <c r="I489" s="154"/>
      <c r="J489" s="154"/>
      <c r="K489" s="154"/>
      <c r="L489" s="154"/>
      <c r="M489" s="154"/>
    </row>
    <row r="490">
      <c r="A490" s="154"/>
      <c r="B490" s="154"/>
      <c r="C490" s="155"/>
      <c r="D490" s="156"/>
      <c r="E490" s="155"/>
      <c r="F490" s="155"/>
      <c r="G490" s="155"/>
      <c r="H490" s="157"/>
      <c r="I490" s="154"/>
      <c r="J490" s="154"/>
      <c r="K490" s="154"/>
      <c r="L490" s="154"/>
      <c r="M490" s="154"/>
    </row>
    <row r="491">
      <c r="A491" s="154"/>
      <c r="B491" s="154"/>
      <c r="C491" s="155"/>
      <c r="D491" s="156"/>
      <c r="E491" s="155"/>
      <c r="F491" s="155"/>
      <c r="G491" s="155"/>
      <c r="H491" s="157"/>
      <c r="I491" s="154"/>
      <c r="J491" s="154"/>
      <c r="K491" s="154"/>
      <c r="L491" s="154"/>
      <c r="M491" s="154"/>
    </row>
    <row r="492">
      <c r="A492" s="154"/>
      <c r="B492" s="154"/>
      <c r="C492" s="155"/>
      <c r="D492" s="156"/>
      <c r="E492" s="155"/>
      <c r="F492" s="155"/>
      <c r="G492" s="155"/>
      <c r="H492" s="157"/>
      <c r="I492" s="154"/>
      <c r="J492" s="154"/>
      <c r="K492" s="154"/>
      <c r="L492" s="154"/>
      <c r="M492" s="154"/>
    </row>
    <row r="493">
      <c r="A493" s="154"/>
      <c r="B493" s="154"/>
      <c r="C493" s="155"/>
      <c r="D493" s="156"/>
      <c r="E493" s="155"/>
      <c r="F493" s="155"/>
      <c r="G493" s="155"/>
      <c r="H493" s="157"/>
      <c r="I493" s="154"/>
      <c r="J493" s="154"/>
      <c r="K493" s="154"/>
      <c r="L493" s="154"/>
      <c r="M493" s="154"/>
    </row>
    <row r="494">
      <c r="A494" s="154"/>
      <c r="B494" s="154"/>
      <c r="C494" s="155"/>
      <c r="D494" s="156"/>
      <c r="E494" s="155"/>
      <c r="F494" s="155"/>
      <c r="G494" s="155"/>
      <c r="H494" s="157"/>
      <c r="I494" s="154"/>
      <c r="J494" s="154"/>
      <c r="K494" s="154"/>
      <c r="L494" s="154"/>
      <c r="M494" s="154"/>
    </row>
    <row r="495">
      <c r="A495" s="154"/>
      <c r="B495" s="154"/>
      <c r="C495" s="155"/>
      <c r="D495" s="156"/>
      <c r="E495" s="155"/>
      <c r="F495" s="155"/>
      <c r="G495" s="155"/>
      <c r="H495" s="157"/>
      <c r="I495" s="154"/>
      <c r="J495" s="154"/>
      <c r="K495" s="154"/>
      <c r="L495" s="154"/>
      <c r="M495" s="154"/>
    </row>
    <row r="496">
      <c r="A496" s="154"/>
      <c r="B496" s="154"/>
      <c r="C496" s="155"/>
      <c r="D496" s="156"/>
      <c r="E496" s="155"/>
      <c r="F496" s="155"/>
      <c r="G496" s="155"/>
      <c r="H496" s="157"/>
      <c r="I496" s="154"/>
      <c r="J496" s="154"/>
      <c r="K496" s="154"/>
      <c r="L496" s="154"/>
      <c r="M496" s="154"/>
    </row>
    <row r="497">
      <c r="A497" s="154"/>
      <c r="B497" s="154"/>
      <c r="C497" s="155"/>
      <c r="D497" s="156"/>
      <c r="E497" s="155"/>
      <c r="F497" s="155"/>
      <c r="G497" s="155"/>
      <c r="H497" s="157"/>
      <c r="I497" s="154"/>
      <c r="J497" s="154"/>
      <c r="K497" s="154"/>
      <c r="L497" s="154"/>
      <c r="M497" s="154"/>
    </row>
    <row r="498">
      <c r="A498" s="154"/>
      <c r="B498" s="154"/>
      <c r="C498" s="155"/>
      <c r="D498" s="156"/>
      <c r="E498" s="155"/>
      <c r="F498" s="155"/>
      <c r="G498" s="155"/>
      <c r="H498" s="157"/>
      <c r="I498" s="154"/>
      <c r="J498" s="154"/>
      <c r="K498" s="154"/>
      <c r="L498" s="154"/>
      <c r="M498" s="154"/>
    </row>
    <row r="499">
      <c r="A499" s="154"/>
      <c r="B499" s="154"/>
      <c r="C499" s="155"/>
      <c r="D499" s="156"/>
      <c r="E499" s="155"/>
      <c r="F499" s="155"/>
      <c r="G499" s="155"/>
      <c r="H499" s="157"/>
      <c r="I499" s="154"/>
      <c r="J499" s="154"/>
      <c r="K499" s="154"/>
      <c r="L499" s="154"/>
      <c r="M499" s="154"/>
    </row>
    <row r="500">
      <c r="A500" s="154"/>
      <c r="B500" s="154"/>
      <c r="C500" s="155"/>
      <c r="D500" s="156"/>
      <c r="E500" s="155"/>
      <c r="F500" s="155"/>
      <c r="G500" s="155"/>
      <c r="H500" s="157"/>
      <c r="I500" s="154"/>
      <c r="J500" s="154"/>
      <c r="K500" s="154"/>
      <c r="L500" s="154"/>
      <c r="M500" s="154"/>
    </row>
    <row r="501">
      <c r="A501" s="154"/>
      <c r="B501" s="154"/>
      <c r="C501" s="155"/>
      <c r="D501" s="156"/>
      <c r="E501" s="155"/>
      <c r="F501" s="155"/>
      <c r="G501" s="155"/>
      <c r="H501" s="157"/>
      <c r="I501" s="154"/>
      <c r="J501" s="154"/>
      <c r="K501" s="154"/>
      <c r="L501" s="154"/>
      <c r="M501" s="154"/>
    </row>
    <row r="502">
      <c r="A502" s="154"/>
      <c r="B502" s="154"/>
      <c r="C502" s="155"/>
      <c r="D502" s="156"/>
      <c r="E502" s="155"/>
      <c r="F502" s="155"/>
      <c r="G502" s="155"/>
      <c r="H502" s="157"/>
      <c r="I502" s="154"/>
      <c r="J502" s="154"/>
      <c r="K502" s="154"/>
      <c r="L502" s="154"/>
      <c r="M502" s="154"/>
    </row>
    <row r="503">
      <c r="A503" s="154"/>
      <c r="B503" s="154"/>
      <c r="C503" s="155"/>
      <c r="D503" s="156"/>
      <c r="E503" s="155"/>
      <c r="F503" s="155"/>
      <c r="G503" s="155"/>
      <c r="H503" s="157"/>
      <c r="I503" s="154"/>
      <c r="J503" s="154"/>
      <c r="K503" s="154"/>
      <c r="L503" s="154"/>
      <c r="M503" s="154"/>
    </row>
    <row r="504">
      <c r="A504" s="154"/>
      <c r="B504" s="154"/>
      <c r="C504" s="155"/>
      <c r="D504" s="156"/>
      <c r="E504" s="155"/>
      <c r="F504" s="155"/>
      <c r="G504" s="155"/>
      <c r="H504" s="157"/>
      <c r="I504" s="154"/>
      <c r="J504" s="154"/>
      <c r="K504" s="154"/>
      <c r="L504" s="154"/>
      <c r="M504" s="154"/>
    </row>
    <row r="505">
      <c r="A505" s="154"/>
      <c r="B505" s="154"/>
      <c r="C505" s="155"/>
      <c r="D505" s="156"/>
      <c r="E505" s="155"/>
      <c r="F505" s="155"/>
      <c r="G505" s="155"/>
      <c r="H505" s="157"/>
      <c r="I505" s="154"/>
      <c r="J505" s="154"/>
      <c r="K505" s="154"/>
      <c r="L505" s="154"/>
      <c r="M505" s="154"/>
    </row>
    <row r="506">
      <c r="A506" s="154"/>
      <c r="B506" s="154"/>
      <c r="C506" s="155"/>
      <c r="D506" s="156"/>
      <c r="E506" s="155"/>
      <c r="F506" s="155"/>
      <c r="G506" s="155"/>
      <c r="H506" s="157"/>
      <c r="I506" s="154"/>
      <c r="J506" s="154"/>
      <c r="K506" s="154"/>
      <c r="L506" s="154"/>
      <c r="M506" s="154"/>
    </row>
    <row r="507">
      <c r="A507" s="154"/>
      <c r="B507" s="154"/>
      <c r="C507" s="155"/>
      <c r="D507" s="156"/>
      <c r="E507" s="155"/>
      <c r="F507" s="155"/>
      <c r="G507" s="155"/>
      <c r="H507" s="157"/>
      <c r="I507" s="154"/>
      <c r="J507" s="154"/>
      <c r="K507" s="154"/>
      <c r="L507" s="154"/>
      <c r="M507" s="154"/>
    </row>
    <row r="508">
      <c r="A508" s="154"/>
      <c r="B508" s="154"/>
      <c r="C508" s="155"/>
      <c r="D508" s="156"/>
      <c r="E508" s="155"/>
      <c r="F508" s="155"/>
      <c r="G508" s="155"/>
      <c r="H508" s="157"/>
      <c r="I508" s="154"/>
      <c r="J508" s="154"/>
      <c r="K508" s="154"/>
      <c r="L508" s="154"/>
      <c r="M508" s="154"/>
    </row>
    <row r="509">
      <c r="A509" s="154"/>
      <c r="B509" s="154"/>
      <c r="C509" s="155"/>
      <c r="D509" s="156"/>
      <c r="E509" s="155"/>
      <c r="F509" s="155"/>
      <c r="G509" s="155"/>
      <c r="H509" s="157"/>
      <c r="I509" s="154"/>
      <c r="J509" s="154"/>
      <c r="K509" s="154"/>
      <c r="L509" s="154"/>
      <c r="M509" s="154"/>
    </row>
    <row r="510">
      <c r="A510" s="154"/>
      <c r="B510" s="154"/>
      <c r="C510" s="155"/>
      <c r="D510" s="156"/>
      <c r="E510" s="155"/>
      <c r="F510" s="155"/>
      <c r="G510" s="155"/>
      <c r="H510" s="157"/>
      <c r="I510" s="154"/>
      <c r="J510" s="154"/>
      <c r="K510" s="154"/>
      <c r="L510" s="154"/>
      <c r="M510" s="154"/>
    </row>
    <row r="511">
      <c r="A511" s="154"/>
      <c r="B511" s="154"/>
      <c r="C511" s="155"/>
      <c r="D511" s="156"/>
      <c r="E511" s="155"/>
      <c r="F511" s="155"/>
      <c r="G511" s="155"/>
      <c r="H511" s="157"/>
      <c r="I511" s="154"/>
      <c r="J511" s="154"/>
      <c r="K511" s="154"/>
      <c r="L511" s="154"/>
      <c r="M511" s="154"/>
    </row>
    <row r="512">
      <c r="A512" s="154"/>
      <c r="B512" s="154"/>
      <c r="C512" s="155"/>
      <c r="D512" s="156"/>
      <c r="E512" s="155"/>
      <c r="F512" s="155"/>
      <c r="G512" s="155"/>
      <c r="H512" s="157"/>
      <c r="I512" s="154"/>
      <c r="J512" s="154"/>
      <c r="K512" s="154"/>
      <c r="L512" s="154"/>
      <c r="M512" s="154"/>
    </row>
    <row r="513">
      <c r="A513" s="154"/>
      <c r="B513" s="154"/>
      <c r="C513" s="155"/>
      <c r="D513" s="156"/>
      <c r="E513" s="155"/>
      <c r="F513" s="155"/>
      <c r="G513" s="155"/>
      <c r="H513" s="157"/>
      <c r="I513" s="154"/>
      <c r="J513" s="154"/>
      <c r="K513" s="154"/>
      <c r="L513" s="154"/>
      <c r="M513" s="154"/>
    </row>
    <row r="514">
      <c r="A514" s="154"/>
      <c r="B514" s="154"/>
      <c r="C514" s="155"/>
      <c r="D514" s="156"/>
      <c r="E514" s="155"/>
      <c r="F514" s="155"/>
      <c r="G514" s="155"/>
      <c r="H514" s="157"/>
      <c r="I514" s="154"/>
      <c r="J514" s="154"/>
      <c r="K514" s="154"/>
      <c r="L514" s="154"/>
      <c r="M514" s="154"/>
    </row>
    <row r="515">
      <c r="A515" s="154"/>
      <c r="B515" s="154"/>
      <c r="C515" s="155"/>
      <c r="D515" s="156"/>
      <c r="E515" s="155"/>
      <c r="F515" s="155"/>
      <c r="G515" s="155"/>
      <c r="H515" s="157"/>
      <c r="I515" s="154"/>
      <c r="J515" s="154"/>
      <c r="K515" s="154"/>
      <c r="L515" s="154"/>
      <c r="M515" s="154"/>
    </row>
    <row r="516">
      <c r="A516" s="154"/>
      <c r="B516" s="154"/>
      <c r="C516" s="155"/>
      <c r="D516" s="156"/>
      <c r="E516" s="155"/>
      <c r="F516" s="155"/>
      <c r="G516" s="155"/>
      <c r="H516" s="157"/>
      <c r="I516" s="154"/>
      <c r="J516" s="154"/>
      <c r="K516" s="154"/>
      <c r="L516" s="154"/>
      <c r="M516" s="154"/>
    </row>
    <row r="517">
      <c r="A517" s="154"/>
      <c r="B517" s="154"/>
      <c r="C517" s="155"/>
      <c r="D517" s="156"/>
      <c r="E517" s="155"/>
      <c r="F517" s="155"/>
      <c r="G517" s="155"/>
      <c r="H517" s="157"/>
      <c r="I517" s="154"/>
      <c r="J517" s="154"/>
      <c r="K517" s="154"/>
      <c r="L517" s="154"/>
      <c r="M517" s="154"/>
    </row>
    <row r="518">
      <c r="A518" s="154"/>
      <c r="B518" s="154"/>
      <c r="C518" s="155"/>
      <c r="D518" s="156"/>
      <c r="E518" s="155"/>
      <c r="F518" s="155"/>
      <c r="G518" s="155"/>
      <c r="H518" s="157"/>
      <c r="I518" s="154"/>
      <c r="J518" s="154"/>
      <c r="K518" s="154"/>
      <c r="L518" s="154"/>
      <c r="M518" s="154"/>
    </row>
    <row r="519">
      <c r="A519" s="154"/>
      <c r="B519" s="154"/>
      <c r="C519" s="155"/>
      <c r="D519" s="156"/>
      <c r="E519" s="155"/>
      <c r="F519" s="155"/>
      <c r="G519" s="155"/>
      <c r="H519" s="157"/>
      <c r="I519" s="154"/>
      <c r="J519" s="154"/>
      <c r="K519" s="154"/>
      <c r="L519" s="154"/>
      <c r="M519" s="154"/>
    </row>
    <row r="520">
      <c r="A520" s="154"/>
      <c r="B520" s="154"/>
      <c r="C520" s="155"/>
      <c r="D520" s="156"/>
      <c r="E520" s="155"/>
      <c r="F520" s="155"/>
      <c r="G520" s="155"/>
      <c r="H520" s="157"/>
      <c r="I520" s="154"/>
      <c r="J520" s="154"/>
      <c r="K520" s="154"/>
      <c r="L520" s="154"/>
      <c r="M520" s="154"/>
    </row>
    <row r="521">
      <c r="A521" s="154"/>
      <c r="B521" s="154"/>
      <c r="C521" s="155"/>
      <c r="D521" s="156"/>
      <c r="E521" s="155"/>
      <c r="F521" s="155"/>
      <c r="G521" s="155"/>
      <c r="H521" s="157"/>
      <c r="I521" s="154"/>
      <c r="J521" s="154"/>
      <c r="K521" s="154"/>
      <c r="L521" s="154"/>
      <c r="M521" s="154"/>
    </row>
    <row r="522">
      <c r="A522" s="154"/>
      <c r="B522" s="154"/>
      <c r="C522" s="155"/>
      <c r="D522" s="156"/>
      <c r="E522" s="155"/>
      <c r="F522" s="155"/>
      <c r="G522" s="155"/>
      <c r="H522" s="157"/>
      <c r="I522" s="154"/>
      <c r="J522" s="154"/>
      <c r="K522" s="154"/>
      <c r="L522" s="154"/>
      <c r="M522" s="154"/>
    </row>
    <row r="523">
      <c r="A523" s="154"/>
      <c r="B523" s="154"/>
      <c r="C523" s="155"/>
      <c r="D523" s="156"/>
      <c r="E523" s="155"/>
      <c r="F523" s="155"/>
      <c r="G523" s="155"/>
      <c r="H523" s="157"/>
      <c r="I523" s="154"/>
      <c r="J523" s="154"/>
      <c r="K523" s="154"/>
      <c r="L523" s="154"/>
      <c r="M523" s="154"/>
    </row>
    <row r="524">
      <c r="A524" s="154"/>
      <c r="B524" s="154"/>
      <c r="C524" s="155"/>
      <c r="D524" s="156"/>
      <c r="E524" s="155"/>
      <c r="F524" s="155"/>
      <c r="G524" s="155"/>
      <c r="H524" s="157"/>
      <c r="I524" s="154"/>
      <c r="J524" s="154"/>
      <c r="K524" s="154"/>
      <c r="L524" s="154"/>
      <c r="M524" s="154"/>
    </row>
    <row r="525">
      <c r="A525" s="154"/>
      <c r="B525" s="154"/>
      <c r="C525" s="155"/>
      <c r="D525" s="156"/>
      <c r="E525" s="155"/>
      <c r="F525" s="155"/>
      <c r="G525" s="155"/>
      <c r="H525" s="157"/>
      <c r="I525" s="154"/>
      <c r="J525" s="154"/>
      <c r="K525" s="154"/>
      <c r="L525" s="154"/>
      <c r="M525" s="154"/>
    </row>
    <row r="526">
      <c r="A526" s="154"/>
      <c r="B526" s="154"/>
      <c r="C526" s="155"/>
      <c r="D526" s="156"/>
      <c r="E526" s="155"/>
      <c r="F526" s="155"/>
      <c r="G526" s="155"/>
      <c r="H526" s="157"/>
      <c r="I526" s="154"/>
      <c r="J526" s="154"/>
      <c r="K526" s="154"/>
      <c r="L526" s="154"/>
      <c r="M526" s="154"/>
    </row>
    <row r="527">
      <c r="A527" s="154"/>
      <c r="B527" s="154"/>
      <c r="C527" s="155"/>
      <c r="D527" s="156"/>
      <c r="E527" s="155"/>
      <c r="F527" s="155"/>
      <c r="G527" s="155"/>
      <c r="H527" s="157"/>
      <c r="I527" s="154"/>
      <c r="J527" s="154"/>
      <c r="K527" s="154"/>
      <c r="L527" s="154"/>
      <c r="M527" s="154"/>
    </row>
    <row r="528">
      <c r="A528" s="154"/>
      <c r="B528" s="154"/>
      <c r="C528" s="155"/>
      <c r="D528" s="156"/>
      <c r="E528" s="155"/>
      <c r="F528" s="155"/>
      <c r="G528" s="155"/>
      <c r="H528" s="157"/>
      <c r="I528" s="154"/>
      <c r="J528" s="154"/>
      <c r="K528" s="154"/>
      <c r="L528" s="154"/>
      <c r="M528" s="154"/>
    </row>
    <row r="529">
      <c r="A529" s="154"/>
      <c r="B529" s="154"/>
      <c r="C529" s="155"/>
      <c r="D529" s="156"/>
      <c r="E529" s="155"/>
      <c r="F529" s="155"/>
      <c r="G529" s="155"/>
      <c r="H529" s="157"/>
      <c r="I529" s="154"/>
      <c r="J529" s="154"/>
      <c r="K529" s="154"/>
      <c r="L529" s="154"/>
      <c r="M529" s="154"/>
    </row>
    <row r="530">
      <c r="A530" s="154"/>
      <c r="B530" s="154"/>
      <c r="C530" s="155"/>
      <c r="D530" s="156"/>
      <c r="E530" s="155"/>
      <c r="F530" s="155"/>
      <c r="G530" s="155"/>
      <c r="H530" s="157"/>
      <c r="I530" s="154"/>
      <c r="J530" s="154"/>
      <c r="K530" s="154"/>
      <c r="L530" s="154"/>
      <c r="M530" s="154"/>
    </row>
    <row r="531">
      <c r="A531" s="154"/>
      <c r="B531" s="154"/>
      <c r="C531" s="155"/>
      <c r="D531" s="156"/>
      <c r="E531" s="155"/>
      <c r="F531" s="155"/>
      <c r="G531" s="155"/>
      <c r="H531" s="157"/>
      <c r="I531" s="154"/>
      <c r="J531" s="154"/>
      <c r="K531" s="154"/>
      <c r="L531" s="154"/>
      <c r="M531" s="154"/>
    </row>
    <row r="532">
      <c r="A532" s="154"/>
      <c r="B532" s="154"/>
      <c r="C532" s="155"/>
      <c r="D532" s="156"/>
      <c r="E532" s="155"/>
      <c r="F532" s="155"/>
      <c r="G532" s="155"/>
      <c r="H532" s="157"/>
      <c r="I532" s="154"/>
      <c r="J532" s="154"/>
      <c r="K532" s="154"/>
      <c r="L532" s="154"/>
      <c r="M532" s="154"/>
    </row>
    <row r="533">
      <c r="A533" s="154"/>
      <c r="B533" s="154"/>
      <c r="C533" s="155"/>
      <c r="D533" s="156"/>
      <c r="E533" s="155"/>
      <c r="F533" s="155"/>
      <c r="G533" s="155"/>
      <c r="H533" s="157"/>
      <c r="I533" s="154"/>
      <c r="J533" s="154"/>
      <c r="K533" s="154"/>
      <c r="L533" s="154"/>
      <c r="M533" s="154"/>
    </row>
    <row r="534">
      <c r="A534" s="154"/>
      <c r="B534" s="154"/>
      <c r="C534" s="155"/>
      <c r="D534" s="156"/>
      <c r="E534" s="155"/>
      <c r="F534" s="155"/>
      <c r="G534" s="155"/>
      <c r="H534" s="157"/>
      <c r="I534" s="154"/>
      <c r="J534" s="154"/>
      <c r="K534" s="154"/>
      <c r="L534" s="154"/>
      <c r="M534" s="154"/>
    </row>
    <row r="535">
      <c r="A535" s="154"/>
      <c r="B535" s="154"/>
      <c r="C535" s="155"/>
      <c r="D535" s="156"/>
      <c r="E535" s="155"/>
      <c r="F535" s="155"/>
      <c r="G535" s="155"/>
      <c r="H535" s="157"/>
      <c r="I535" s="154"/>
      <c r="J535" s="154"/>
      <c r="K535" s="154"/>
      <c r="L535" s="154"/>
      <c r="M535" s="154"/>
    </row>
    <row r="536">
      <c r="A536" s="154"/>
      <c r="B536" s="154"/>
      <c r="C536" s="155"/>
      <c r="D536" s="156"/>
      <c r="E536" s="155"/>
      <c r="F536" s="155"/>
      <c r="G536" s="155"/>
      <c r="H536" s="157"/>
      <c r="I536" s="154"/>
      <c r="J536" s="154"/>
      <c r="K536" s="154"/>
      <c r="L536" s="154"/>
      <c r="M536" s="154"/>
    </row>
    <row r="537">
      <c r="A537" s="154"/>
      <c r="B537" s="154"/>
      <c r="C537" s="155"/>
      <c r="D537" s="156"/>
      <c r="E537" s="155"/>
      <c r="F537" s="155"/>
      <c r="G537" s="155"/>
      <c r="H537" s="157"/>
      <c r="I537" s="154"/>
      <c r="J537" s="154"/>
      <c r="K537" s="154"/>
      <c r="L537" s="154"/>
      <c r="M537" s="154"/>
    </row>
    <row r="538">
      <c r="A538" s="154"/>
      <c r="B538" s="154"/>
      <c r="C538" s="155"/>
      <c r="D538" s="156"/>
      <c r="E538" s="155"/>
      <c r="F538" s="155"/>
      <c r="G538" s="155"/>
      <c r="H538" s="157"/>
      <c r="I538" s="154"/>
      <c r="J538" s="154"/>
      <c r="K538" s="154"/>
      <c r="L538" s="154"/>
      <c r="M538" s="154"/>
    </row>
    <row r="539">
      <c r="A539" s="154"/>
      <c r="B539" s="154"/>
      <c r="C539" s="155"/>
      <c r="D539" s="156"/>
      <c r="E539" s="155"/>
      <c r="F539" s="155"/>
      <c r="G539" s="155"/>
      <c r="H539" s="157"/>
      <c r="I539" s="154"/>
      <c r="J539" s="154"/>
      <c r="K539" s="154"/>
      <c r="L539" s="154"/>
      <c r="M539" s="154"/>
    </row>
    <row r="540">
      <c r="A540" s="154"/>
      <c r="B540" s="154"/>
      <c r="C540" s="155"/>
      <c r="D540" s="156"/>
      <c r="E540" s="155"/>
      <c r="F540" s="155"/>
      <c r="G540" s="155"/>
      <c r="H540" s="157"/>
      <c r="I540" s="154"/>
      <c r="J540" s="154"/>
      <c r="K540" s="154"/>
      <c r="L540" s="154"/>
      <c r="M540" s="154"/>
    </row>
    <row r="541">
      <c r="A541" s="154"/>
      <c r="B541" s="154"/>
      <c r="C541" s="155"/>
      <c r="D541" s="156"/>
      <c r="E541" s="155"/>
      <c r="F541" s="155"/>
      <c r="G541" s="155"/>
      <c r="H541" s="157"/>
      <c r="I541" s="154"/>
      <c r="J541" s="154"/>
      <c r="K541" s="154"/>
      <c r="L541" s="154"/>
      <c r="M541" s="154"/>
    </row>
    <row r="542">
      <c r="A542" s="154"/>
      <c r="B542" s="154"/>
      <c r="C542" s="155"/>
      <c r="D542" s="156"/>
      <c r="E542" s="155"/>
      <c r="F542" s="155"/>
      <c r="G542" s="155"/>
      <c r="H542" s="157"/>
      <c r="I542" s="154"/>
      <c r="J542" s="154"/>
      <c r="K542" s="154"/>
      <c r="L542" s="154"/>
      <c r="M542" s="154"/>
    </row>
    <row r="543">
      <c r="A543" s="154"/>
      <c r="B543" s="154"/>
      <c r="C543" s="155"/>
      <c r="D543" s="156"/>
      <c r="E543" s="155"/>
      <c r="F543" s="155"/>
      <c r="G543" s="155"/>
      <c r="H543" s="157"/>
      <c r="I543" s="154"/>
      <c r="J543" s="154"/>
      <c r="K543" s="154"/>
      <c r="L543" s="154"/>
      <c r="M543" s="154"/>
    </row>
    <row r="544">
      <c r="A544" s="154"/>
      <c r="B544" s="154"/>
      <c r="C544" s="155"/>
      <c r="D544" s="156"/>
      <c r="E544" s="155"/>
      <c r="F544" s="155"/>
      <c r="G544" s="155"/>
      <c r="H544" s="157"/>
      <c r="I544" s="154"/>
      <c r="J544" s="154"/>
      <c r="K544" s="154"/>
      <c r="L544" s="154"/>
      <c r="M544" s="154"/>
    </row>
    <row r="545">
      <c r="A545" s="154"/>
      <c r="B545" s="154"/>
      <c r="C545" s="155"/>
      <c r="D545" s="156"/>
      <c r="E545" s="155"/>
      <c r="F545" s="155"/>
      <c r="G545" s="155"/>
      <c r="H545" s="157"/>
      <c r="I545" s="154"/>
      <c r="J545" s="154"/>
      <c r="K545" s="154"/>
      <c r="L545" s="154"/>
      <c r="M545" s="154"/>
    </row>
    <row r="546">
      <c r="A546" s="154"/>
      <c r="B546" s="154"/>
      <c r="C546" s="155"/>
      <c r="D546" s="156"/>
      <c r="E546" s="155"/>
      <c r="F546" s="155"/>
      <c r="G546" s="155"/>
      <c r="H546" s="157"/>
      <c r="I546" s="154"/>
      <c r="J546" s="154"/>
      <c r="K546" s="154"/>
      <c r="L546" s="154"/>
      <c r="M546" s="154"/>
    </row>
    <row r="547">
      <c r="A547" s="154"/>
      <c r="B547" s="154"/>
      <c r="C547" s="155"/>
      <c r="D547" s="156"/>
      <c r="E547" s="155"/>
      <c r="F547" s="155"/>
      <c r="G547" s="155"/>
      <c r="H547" s="157"/>
      <c r="I547" s="154"/>
      <c r="J547" s="154"/>
      <c r="K547" s="154"/>
      <c r="L547" s="154"/>
      <c r="M547" s="154"/>
    </row>
    <row r="548">
      <c r="A548" s="154"/>
      <c r="B548" s="154"/>
      <c r="C548" s="155"/>
      <c r="D548" s="156"/>
      <c r="E548" s="155"/>
      <c r="F548" s="155"/>
      <c r="G548" s="155"/>
      <c r="H548" s="157"/>
      <c r="I548" s="154"/>
      <c r="J548" s="154"/>
      <c r="K548" s="154"/>
      <c r="L548" s="154"/>
      <c r="M548" s="154"/>
    </row>
    <row r="549">
      <c r="A549" s="154"/>
      <c r="B549" s="154"/>
      <c r="C549" s="155"/>
      <c r="D549" s="156"/>
      <c r="E549" s="155"/>
      <c r="F549" s="155"/>
      <c r="G549" s="155"/>
      <c r="H549" s="157"/>
      <c r="I549" s="154"/>
      <c r="J549" s="154"/>
      <c r="K549" s="154"/>
      <c r="L549" s="154"/>
      <c r="M549" s="154"/>
    </row>
    <row r="550">
      <c r="A550" s="154"/>
      <c r="B550" s="154"/>
      <c r="C550" s="155"/>
      <c r="D550" s="156"/>
      <c r="E550" s="155"/>
      <c r="F550" s="155"/>
      <c r="G550" s="155"/>
      <c r="H550" s="157"/>
      <c r="I550" s="154"/>
      <c r="J550" s="154"/>
      <c r="K550" s="154"/>
      <c r="L550" s="154"/>
      <c r="M550" s="154"/>
    </row>
    <row r="551">
      <c r="A551" s="154"/>
      <c r="B551" s="154"/>
      <c r="C551" s="155"/>
      <c r="D551" s="156"/>
      <c r="E551" s="155"/>
      <c r="F551" s="155"/>
      <c r="G551" s="155"/>
      <c r="H551" s="157"/>
      <c r="I551" s="154"/>
      <c r="J551" s="154"/>
      <c r="K551" s="154"/>
      <c r="L551" s="154"/>
      <c r="M551" s="154"/>
    </row>
    <row r="552">
      <c r="A552" s="154"/>
      <c r="B552" s="154"/>
      <c r="C552" s="155"/>
      <c r="D552" s="156"/>
      <c r="E552" s="155"/>
      <c r="F552" s="155"/>
      <c r="G552" s="155"/>
      <c r="H552" s="157"/>
      <c r="I552" s="154"/>
      <c r="J552" s="154"/>
      <c r="K552" s="154"/>
      <c r="L552" s="154"/>
      <c r="M552" s="154"/>
    </row>
    <row r="553">
      <c r="A553" s="154"/>
      <c r="B553" s="154"/>
      <c r="C553" s="155"/>
      <c r="D553" s="156"/>
      <c r="E553" s="155"/>
      <c r="F553" s="155"/>
      <c r="G553" s="155"/>
      <c r="H553" s="157"/>
      <c r="I553" s="154"/>
      <c r="J553" s="154"/>
      <c r="K553" s="154"/>
      <c r="L553" s="154"/>
      <c r="M553" s="154"/>
    </row>
    <row r="554">
      <c r="A554" s="154"/>
      <c r="B554" s="154"/>
      <c r="C554" s="155"/>
      <c r="D554" s="156"/>
      <c r="E554" s="155"/>
      <c r="F554" s="155"/>
      <c r="G554" s="155"/>
      <c r="H554" s="157"/>
      <c r="I554" s="154"/>
      <c r="J554" s="154"/>
      <c r="K554" s="154"/>
      <c r="L554" s="154"/>
      <c r="M554" s="154"/>
    </row>
    <row r="555">
      <c r="A555" s="154"/>
      <c r="B555" s="154"/>
      <c r="C555" s="155"/>
      <c r="D555" s="156"/>
      <c r="E555" s="155"/>
      <c r="F555" s="155"/>
      <c r="G555" s="155"/>
      <c r="H555" s="157"/>
      <c r="I555" s="154"/>
      <c r="J555" s="154"/>
      <c r="K555" s="154"/>
      <c r="L555" s="154"/>
      <c r="M555" s="154"/>
    </row>
    <row r="556">
      <c r="A556" s="154"/>
      <c r="B556" s="154"/>
      <c r="C556" s="155"/>
      <c r="D556" s="156"/>
      <c r="E556" s="155"/>
      <c r="F556" s="155"/>
      <c r="G556" s="155"/>
      <c r="H556" s="157"/>
      <c r="I556" s="154"/>
      <c r="J556" s="154"/>
      <c r="K556" s="154"/>
      <c r="L556" s="154"/>
      <c r="M556" s="154"/>
    </row>
    <row r="557">
      <c r="A557" s="154"/>
      <c r="B557" s="154"/>
      <c r="C557" s="155"/>
      <c r="D557" s="156"/>
      <c r="E557" s="155"/>
      <c r="F557" s="155"/>
      <c r="G557" s="155"/>
      <c r="H557" s="157"/>
      <c r="I557" s="154"/>
      <c r="J557" s="154"/>
      <c r="K557" s="154"/>
      <c r="L557" s="154"/>
      <c r="M557" s="154"/>
    </row>
    <row r="558">
      <c r="A558" s="154"/>
      <c r="B558" s="154"/>
      <c r="C558" s="155"/>
      <c r="D558" s="156"/>
      <c r="E558" s="155"/>
      <c r="F558" s="155"/>
      <c r="G558" s="155"/>
      <c r="H558" s="157"/>
      <c r="I558" s="154"/>
      <c r="J558" s="154"/>
      <c r="K558" s="154"/>
      <c r="L558" s="154"/>
      <c r="M558" s="154"/>
    </row>
    <row r="559">
      <c r="A559" s="154"/>
      <c r="B559" s="154"/>
      <c r="C559" s="155"/>
      <c r="D559" s="156"/>
      <c r="E559" s="155"/>
      <c r="F559" s="155"/>
      <c r="G559" s="155"/>
      <c r="H559" s="157"/>
      <c r="I559" s="154"/>
      <c r="J559" s="154"/>
      <c r="K559" s="154"/>
      <c r="L559" s="154"/>
      <c r="M559" s="154"/>
    </row>
    <row r="560">
      <c r="A560" s="154"/>
      <c r="B560" s="154"/>
      <c r="C560" s="155"/>
      <c r="D560" s="156"/>
      <c r="E560" s="155"/>
      <c r="F560" s="155"/>
      <c r="G560" s="155"/>
      <c r="H560" s="157"/>
      <c r="I560" s="154"/>
      <c r="J560" s="154"/>
      <c r="K560" s="154"/>
      <c r="L560" s="154"/>
      <c r="M560" s="154"/>
    </row>
    <row r="561">
      <c r="A561" s="154"/>
      <c r="B561" s="154"/>
      <c r="C561" s="155"/>
      <c r="D561" s="156"/>
      <c r="E561" s="155"/>
      <c r="F561" s="155"/>
      <c r="G561" s="155"/>
      <c r="H561" s="157"/>
      <c r="I561" s="154"/>
      <c r="J561" s="154"/>
      <c r="K561" s="154"/>
      <c r="L561" s="154"/>
      <c r="M561" s="154"/>
    </row>
    <row r="562">
      <c r="A562" s="154"/>
      <c r="B562" s="154"/>
      <c r="C562" s="155"/>
      <c r="D562" s="156"/>
      <c r="E562" s="155"/>
      <c r="F562" s="155"/>
      <c r="G562" s="155"/>
      <c r="H562" s="157"/>
      <c r="I562" s="154"/>
      <c r="J562" s="154"/>
      <c r="K562" s="154"/>
      <c r="L562" s="154"/>
      <c r="M562" s="154"/>
    </row>
    <row r="563">
      <c r="A563" s="154"/>
      <c r="B563" s="154"/>
      <c r="C563" s="155"/>
      <c r="D563" s="156"/>
      <c r="E563" s="155"/>
      <c r="F563" s="155"/>
      <c r="G563" s="155"/>
      <c r="H563" s="157"/>
      <c r="I563" s="154"/>
      <c r="J563" s="154"/>
      <c r="K563" s="154"/>
      <c r="L563" s="154"/>
      <c r="M563" s="154"/>
    </row>
    <row r="564">
      <c r="A564" s="154"/>
      <c r="B564" s="154"/>
      <c r="C564" s="155"/>
      <c r="D564" s="156"/>
      <c r="E564" s="155"/>
      <c r="F564" s="155"/>
      <c r="G564" s="155"/>
      <c r="H564" s="157"/>
      <c r="I564" s="154"/>
      <c r="J564" s="154"/>
      <c r="K564" s="154"/>
      <c r="L564" s="154"/>
      <c r="M564" s="154"/>
    </row>
    <row r="565">
      <c r="A565" s="154"/>
      <c r="B565" s="154"/>
      <c r="C565" s="155"/>
      <c r="D565" s="156"/>
      <c r="E565" s="155"/>
      <c r="F565" s="155"/>
      <c r="G565" s="155"/>
      <c r="H565" s="157"/>
      <c r="I565" s="154"/>
      <c r="J565" s="154"/>
      <c r="K565" s="154"/>
      <c r="L565" s="154"/>
      <c r="M565" s="154"/>
    </row>
    <row r="566">
      <c r="A566" s="154"/>
      <c r="B566" s="154"/>
      <c r="C566" s="155"/>
      <c r="D566" s="156"/>
      <c r="E566" s="155"/>
      <c r="F566" s="155"/>
      <c r="G566" s="155"/>
      <c r="H566" s="157"/>
      <c r="I566" s="154"/>
      <c r="J566" s="154"/>
      <c r="K566" s="154"/>
      <c r="L566" s="154"/>
      <c r="M566" s="154"/>
    </row>
    <row r="567">
      <c r="A567" s="154"/>
      <c r="B567" s="154"/>
      <c r="C567" s="155"/>
      <c r="D567" s="156"/>
      <c r="E567" s="155"/>
      <c r="F567" s="155"/>
      <c r="G567" s="155"/>
      <c r="H567" s="157"/>
      <c r="I567" s="154"/>
      <c r="J567" s="154"/>
      <c r="K567" s="154"/>
      <c r="L567" s="154"/>
      <c r="M567" s="154"/>
    </row>
    <row r="568">
      <c r="A568" s="154"/>
      <c r="B568" s="154"/>
      <c r="C568" s="155"/>
      <c r="D568" s="156"/>
      <c r="E568" s="155"/>
      <c r="F568" s="155"/>
      <c r="G568" s="155"/>
      <c r="H568" s="157"/>
      <c r="I568" s="154"/>
      <c r="J568" s="154"/>
      <c r="K568" s="154"/>
      <c r="L568" s="154"/>
      <c r="M568" s="154"/>
    </row>
    <row r="569">
      <c r="A569" s="154"/>
      <c r="B569" s="154"/>
      <c r="C569" s="155"/>
      <c r="D569" s="156"/>
      <c r="E569" s="155"/>
      <c r="F569" s="155"/>
      <c r="G569" s="155"/>
      <c r="H569" s="157"/>
      <c r="I569" s="154"/>
      <c r="J569" s="154"/>
      <c r="K569" s="154"/>
      <c r="L569" s="154"/>
      <c r="M569" s="154"/>
    </row>
    <row r="570">
      <c r="A570" s="154"/>
      <c r="B570" s="154"/>
      <c r="C570" s="155"/>
      <c r="D570" s="156"/>
      <c r="E570" s="155"/>
      <c r="F570" s="155"/>
      <c r="G570" s="155"/>
      <c r="H570" s="157"/>
      <c r="I570" s="154"/>
      <c r="J570" s="154"/>
      <c r="K570" s="154"/>
      <c r="L570" s="154"/>
      <c r="M570" s="154"/>
    </row>
    <row r="571">
      <c r="A571" s="154"/>
      <c r="B571" s="154"/>
      <c r="C571" s="155"/>
      <c r="D571" s="156"/>
      <c r="E571" s="155"/>
      <c r="F571" s="155"/>
      <c r="G571" s="155"/>
      <c r="H571" s="157"/>
      <c r="I571" s="154"/>
      <c r="J571" s="154"/>
      <c r="K571" s="154"/>
      <c r="L571" s="154"/>
      <c r="M571" s="154"/>
    </row>
    <row r="572">
      <c r="A572" s="154"/>
      <c r="B572" s="154"/>
      <c r="C572" s="155"/>
      <c r="D572" s="156"/>
      <c r="E572" s="155"/>
      <c r="F572" s="155"/>
      <c r="G572" s="155"/>
      <c r="H572" s="157"/>
      <c r="I572" s="154"/>
      <c r="J572" s="154"/>
      <c r="K572" s="154"/>
      <c r="L572" s="154"/>
      <c r="M572" s="154"/>
    </row>
    <row r="573">
      <c r="A573" s="154"/>
      <c r="B573" s="154"/>
      <c r="C573" s="155"/>
      <c r="D573" s="156"/>
      <c r="E573" s="155"/>
      <c r="F573" s="155"/>
      <c r="G573" s="155"/>
      <c r="H573" s="157"/>
      <c r="I573" s="154"/>
      <c r="J573" s="154"/>
      <c r="K573" s="154"/>
      <c r="L573" s="154"/>
      <c r="M573" s="154"/>
    </row>
    <row r="574">
      <c r="A574" s="154"/>
      <c r="B574" s="154"/>
      <c r="C574" s="155"/>
      <c r="D574" s="156"/>
      <c r="E574" s="155"/>
      <c r="F574" s="155"/>
      <c r="G574" s="155"/>
      <c r="H574" s="157"/>
      <c r="I574" s="154"/>
      <c r="J574" s="154"/>
      <c r="K574" s="154"/>
      <c r="L574" s="154"/>
      <c r="M574" s="154"/>
    </row>
    <row r="575">
      <c r="A575" s="154"/>
      <c r="B575" s="154"/>
      <c r="C575" s="155"/>
      <c r="D575" s="156"/>
      <c r="E575" s="155"/>
      <c r="F575" s="155"/>
      <c r="G575" s="155"/>
      <c r="H575" s="157"/>
      <c r="I575" s="154"/>
      <c r="J575" s="154"/>
      <c r="K575" s="154"/>
      <c r="L575" s="154"/>
      <c r="M575" s="154"/>
    </row>
    <row r="576">
      <c r="A576" s="154"/>
      <c r="B576" s="154"/>
      <c r="C576" s="155"/>
      <c r="D576" s="156"/>
      <c r="E576" s="155"/>
      <c r="F576" s="155"/>
      <c r="G576" s="155"/>
      <c r="H576" s="157"/>
      <c r="I576" s="154"/>
      <c r="J576" s="154"/>
      <c r="K576" s="154"/>
      <c r="L576" s="154"/>
      <c r="M576" s="154"/>
    </row>
    <row r="577">
      <c r="A577" s="154"/>
      <c r="B577" s="154"/>
      <c r="C577" s="155"/>
      <c r="D577" s="156"/>
      <c r="E577" s="155"/>
      <c r="F577" s="155"/>
      <c r="G577" s="155"/>
      <c r="H577" s="157"/>
      <c r="I577" s="154"/>
      <c r="J577" s="154"/>
      <c r="K577" s="154"/>
      <c r="L577" s="154"/>
      <c r="M577" s="154"/>
    </row>
    <row r="578">
      <c r="A578" s="154"/>
      <c r="B578" s="154"/>
      <c r="C578" s="155"/>
      <c r="D578" s="156"/>
      <c r="E578" s="155"/>
      <c r="F578" s="155"/>
      <c r="G578" s="155"/>
      <c r="H578" s="157"/>
      <c r="I578" s="154"/>
      <c r="J578" s="154"/>
      <c r="K578" s="154"/>
      <c r="L578" s="154"/>
      <c r="M578" s="154"/>
    </row>
    <row r="579">
      <c r="A579" s="154"/>
      <c r="B579" s="154"/>
      <c r="C579" s="155"/>
      <c r="D579" s="156"/>
      <c r="E579" s="155"/>
      <c r="F579" s="155"/>
      <c r="G579" s="155"/>
      <c r="H579" s="157"/>
      <c r="I579" s="154"/>
      <c r="J579" s="154"/>
      <c r="K579" s="154"/>
      <c r="L579" s="154"/>
      <c r="M579" s="154"/>
    </row>
    <row r="580">
      <c r="A580" s="154"/>
      <c r="B580" s="154"/>
      <c r="C580" s="155"/>
      <c r="D580" s="156"/>
      <c r="E580" s="155"/>
      <c r="F580" s="155"/>
      <c r="G580" s="155"/>
      <c r="H580" s="157"/>
      <c r="I580" s="154"/>
      <c r="J580" s="154"/>
      <c r="K580" s="154"/>
      <c r="L580" s="154"/>
      <c r="M580" s="154"/>
    </row>
    <row r="581">
      <c r="A581" s="154"/>
      <c r="B581" s="154"/>
      <c r="C581" s="155"/>
      <c r="D581" s="156"/>
      <c r="E581" s="155"/>
      <c r="F581" s="155"/>
      <c r="G581" s="155"/>
      <c r="H581" s="157"/>
      <c r="I581" s="154"/>
      <c r="J581" s="154"/>
      <c r="K581" s="154"/>
      <c r="L581" s="154"/>
      <c r="M581" s="154"/>
    </row>
    <row r="582">
      <c r="A582" s="154"/>
      <c r="B582" s="154"/>
      <c r="C582" s="155"/>
      <c r="D582" s="156"/>
      <c r="E582" s="155"/>
      <c r="F582" s="155"/>
      <c r="G582" s="155"/>
      <c r="H582" s="157"/>
      <c r="I582" s="154"/>
      <c r="J582" s="154"/>
      <c r="K582" s="154"/>
      <c r="L582" s="154"/>
      <c r="M582" s="154"/>
    </row>
    <row r="583">
      <c r="A583" s="154"/>
      <c r="B583" s="154"/>
      <c r="C583" s="155"/>
      <c r="D583" s="156"/>
      <c r="E583" s="155"/>
      <c r="F583" s="155"/>
      <c r="G583" s="155"/>
      <c r="H583" s="157"/>
      <c r="I583" s="154"/>
      <c r="J583" s="154"/>
      <c r="K583" s="154"/>
      <c r="L583" s="154"/>
      <c r="M583" s="154"/>
    </row>
    <row r="584">
      <c r="A584" s="154"/>
      <c r="B584" s="154"/>
      <c r="C584" s="155"/>
      <c r="D584" s="156"/>
      <c r="E584" s="155"/>
      <c r="F584" s="155"/>
      <c r="G584" s="155"/>
      <c r="H584" s="157"/>
      <c r="I584" s="154"/>
      <c r="J584" s="154"/>
      <c r="K584" s="154"/>
      <c r="L584" s="154"/>
      <c r="M584" s="154"/>
    </row>
    <row r="585">
      <c r="A585" s="154"/>
      <c r="B585" s="154"/>
      <c r="C585" s="155"/>
      <c r="D585" s="156"/>
      <c r="E585" s="155"/>
      <c r="F585" s="155"/>
      <c r="G585" s="155"/>
      <c r="H585" s="157"/>
      <c r="I585" s="154"/>
      <c r="J585" s="154"/>
      <c r="K585" s="154"/>
      <c r="L585" s="154"/>
      <c r="M585" s="154"/>
    </row>
    <row r="586">
      <c r="A586" s="154"/>
      <c r="B586" s="154"/>
      <c r="C586" s="155"/>
      <c r="D586" s="156"/>
      <c r="E586" s="155"/>
      <c r="F586" s="155"/>
      <c r="G586" s="155"/>
      <c r="H586" s="157"/>
      <c r="I586" s="154"/>
      <c r="J586" s="154"/>
      <c r="K586" s="154"/>
      <c r="L586" s="154"/>
      <c r="M586" s="154"/>
    </row>
    <row r="587">
      <c r="A587" s="154"/>
      <c r="B587" s="154"/>
      <c r="C587" s="155"/>
      <c r="D587" s="156"/>
      <c r="E587" s="155"/>
      <c r="F587" s="155"/>
      <c r="G587" s="155"/>
      <c r="H587" s="157"/>
      <c r="I587" s="154"/>
      <c r="J587" s="154"/>
      <c r="K587" s="154"/>
      <c r="L587" s="154"/>
      <c r="M587" s="154"/>
    </row>
    <row r="588">
      <c r="A588" s="154"/>
      <c r="B588" s="154"/>
      <c r="C588" s="155"/>
      <c r="D588" s="156"/>
      <c r="E588" s="155"/>
      <c r="F588" s="155"/>
      <c r="G588" s="155"/>
      <c r="H588" s="157"/>
      <c r="I588" s="154"/>
      <c r="J588" s="154"/>
      <c r="K588" s="154"/>
      <c r="L588" s="154"/>
      <c r="M588" s="154"/>
    </row>
    <row r="589">
      <c r="A589" s="154"/>
      <c r="B589" s="154"/>
      <c r="C589" s="155"/>
      <c r="D589" s="156"/>
      <c r="E589" s="155"/>
      <c r="F589" s="155"/>
      <c r="G589" s="155"/>
      <c r="H589" s="157"/>
      <c r="I589" s="154"/>
      <c r="J589" s="154"/>
      <c r="K589" s="154"/>
      <c r="L589" s="154"/>
      <c r="M589" s="154"/>
    </row>
    <row r="590">
      <c r="A590" s="154"/>
      <c r="B590" s="154"/>
      <c r="C590" s="155"/>
      <c r="D590" s="156"/>
      <c r="E590" s="155"/>
      <c r="F590" s="155"/>
      <c r="G590" s="155"/>
      <c r="H590" s="157"/>
      <c r="I590" s="154"/>
      <c r="J590" s="154"/>
      <c r="K590" s="154"/>
      <c r="L590" s="154"/>
      <c r="M590" s="154"/>
    </row>
    <row r="591">
      <c r="A591" s="154"/>
      <c r="B591" s="154"/>
      <c r="C591" s="155"/>
      <c r="D591" s="156"/>
      <c r="E591" s="155"/>
      <c r="F591" s="155"/>
      <c r="G591" s="155"/>
      <c r="H591" s="157"/>
      <c r="I591" s="154"/>
      <c r="J591" s="154"/>
      <c r="K591" s="154"/>
      <c r="L591" s="154"/>
      <c r="M591" s="154"/>
    </row>
    <row r="592">
      <c r="A592" s="154"/>
      <c r="B592" s="154"/>
      <c r="C592" s="155"/>
      <c r="D592" s="156"/>
      <c r="E592" s="155"/>
      <c r="F592" s="155"/>
      <c r="G592" s="155"/>
      <c r="H592" s="157"/>
      <c r="I592" s="154"/>
      <c r="J592" s="154"/>
      <c r="K592" s="154"/>
      <c r="L592" s="154"/>
      <c r="M592" s="154"/>
    </row>
    <row r="593">
      <c r="A593" s="154"/>
      <c r="B593" s="154"/>
      <c r="C593" s="155"/>
      <c r="D593" s="156"/>
      <c r="E593" s="155"/>
      <c r="F593" s="155"/>
      <c r="G593" s="155"/>
      <c r="H593" s="157"/>
      <c r="I593" s="154"/>
      <c r="J593" s="154"/>
      <c r="K593" s="154"/>
      <c r="L593" s="154"/>
      <c r="M593" s="154"/>
    </row>
    <row r="594">
      <c r="A594" s="154"/>
      <c r="B594" s="154"/>
      <c r="C594" s="155"/>
      <c r="D594" s="156"/>
      <c r="E594" s="155"/>
      <c r="F594" s="155"/>
      <c r="G594" s="155"/>
      <c r="H594" s="157"/>
      <c r="I594" s="154"/>
      <c r="J594" s="154"/>
      <c r="K594" s="154"/>
      <c r="L594" s="154"/>
      <c r="M594" s="154"/>
    </row>
    <row r="595">
      <c r="A595" s="154"/>
      <c r="B595" s="154"/>
      <c r="C595" s="155"/>
      <c r="D595" s="156"/>
      <c r="E595" s="155"/>
      <c r="F595" s="155"/>
      <c r="G595" s="155"/>
      <c r="H595" s="157"/>
      <c r="I595" s="154"/>
      <c r="J595" s="154"/>
      <c r="K595" s="154"/>
      <c r="L595" s="154"/>
      <c r="M595" s="154"/>
    </row>
    <row r="596">
      <c r="A596" s="154"/>
      <c r="B596" s="154"/>
      <c r="C596" s="155"/>
      <c r="D596" s="156"/>
      <c r="E596" s="155"/>
      <c r="F596" s="155"/>
      <c r="G596" s="155"/>
      <c r="H596" s="157"/>
      <c r="I596" s="154"/>
      <c r="J596" s="154"/>
      <c r="K596" s="154"/>
      <c r="L596" s="154"/>
      <c r="M596" s="154"/>
    </row>
    <row r="597">
      <c r="A597" s="154"/>
      <c r="B597" s="154"/>
      <c r="C597" s="155"/>
      <c r="D597" s="156"/>
      <c r="E597" s="155"/>
      <c r="F597" s="155"/>
      <c r="G597" s="155"/>
      <c r="H597" s="157"/>
      <c r="I597" s="154"/>
      <c r="J597" s="154"/>
      <c r="K597" s="154"/>
      <c r="L597" s="154"/>
      <c r="M597" s="154"/>
    </row>
  </sheetData>
  <mergeCells count="3">
    <mergeCell ref="C1:H1"/>
    <mergeCell ref="C2:H2"/>
    <mergeCell ref="C3:H3"/>
  </mergeCells>
  <dataValidations>
    <dataValidation type="list" allowBlank="1" showErrorMessage="1" sqref="A1:C1 I1:M1">
      <formula1>'All Competencies'!$A$3:$A597</formula1>
    </dataValidation>
  </dataValidations>
  <hyperlinks>
    <hyperlink r:id="rId1" ref="D5"/>
    <hyperlink r:id="rId2" ref="H5"/>
    <hyperlink r:id="rId3" ref="D6"/>
    <hyperlink r:id="rId4" ref="H6"/>
    <hyperlink r:id="rId5" ref="D7"/>
    <hyperlink r:id="rId6" ref="H7"/>
    <hyperlink r:id="rId7" ref="D8"/>
    <hyperlink r:id="rId8" ref="H8"/>
    <hyperlink r:id="rId9" ref="D9"/>
    <hyperlink r:id="rId10" ref="H9"/>
    <hyperlink r:id="rId11" ref="D10"/>
    <hyperlink r:id="rId12" ref="H10"/>
    <hyperlink r:id="rId13" ref="D11"/>
    <hyperlink r:id="rId14" ref="H11"/>
    <hyperlink r:id="rId15" ref="D12"/>
    <hyperlink r:id="rId16" ref="H12"/>
    <hyperlink r:id="rId17" ref="D13"/>
    <hyperlink r:id="rId18" ref="H13"/>
    <hyperlink r:id="rId19" ref="D14"/>
    <hyperlink r:id="rId20" ref="H14"/>
    <hyperlink r:id="rId21" ref="D15"/>
    <hyperlink r:id="rId22" ref="H15"/>
    <hyperlink r:id="rId23" ref="D16"/>
    <hyperlink r:id="rId24" ref="H16"/>
    <hyperlink r:id="rId25" ref="D17"/>
    <hyperlink r:id="rId26" ref="H17"/>
    <hyperlink r:id="rId27" ref="D18"/>
    <hyperlink r:id="rId28" ref="D19"/>
    <hyperlink r:id="rId29" ref="D20"/>
    <hyperlink r:id="rId30" ref="D21"/>
    <hyperlink r:id="rId31" ref="D22"/>
    <hyperlink r:id="rId32" ref="D23"/>
    <hyperlink r:id="rId33" ref="D24"/>
    <hyperlink r:id="rId34" ref="D25"/>
    <hyperlink r:id="rId35" ref="D26"/>
    <hyperlink r:id="rId36" ref="D27"/>
    <hyperlink r:id="rId37" ref="D28"/>
    <hyperlink r:id="rId38" ref="D29"/>
    <hyperlink r:id="rId39" ref="D30"/>
    <hyperlink r:id="rId40" ref="D31"/>
    <hyperlink r:id="rId41" ref="D32"/>
    <hyperlink r:id="rId42" ref="D33"/>
    <hyperlink r:id="rId43" ref="D34"/>
    <hyperlink r:id="rId44" ref="D35"/>
    <hyperlink r:id="rId45" ref="D36"/>
    <hyperlink r:id="rId46" ref="D37"/>
    <hyperlink r:id="rId47" ref="D38"/>
    <hyperlink r:id="rId48" ref="D39"/>
    <hyperlink r:id="rId49" ref="D40"/>
    <hyperlink r:id="rId50" ref="D41"/>
    <hyperlink r:id="rId51" ref="D42"/>
    <hyperlink r:id="rId52" ref="D43"/>
    <hyperlink r:id="rId53" ref="D44"/>
    <hyperlink r:id="rId54" ref="D45"/>
    <hyperlink r:id="rId55" ref="D46"/>
    <hyperlink r:id="rId56" ref="D47"/>
    <hyperlink r:id="rId57" ref="D48"/>
    <hyperlink r:id="rId58" ref="D49"/>
    <hyperlink r:id="rId59" ref="D50"/>
    <hyperlink r:id="rId60" ref="D51"/>
    <hyperlink r:id="rId61" ref="D52"/>
    <hyperlink r:id="rId62" ref="D53"/>
    <hyperlink r:id="rId63" ref="D54"/>
    <hyperlink r:id="rId64" ref="D55"/>
    <hyperlink r:id="rId65" ref="D56"/>
    <hyperlink r:id="rId66" ref="D57"/>
    <hyperlink r:id="rId67" ref="D58"/>
    <hyperlink r:id="rId68" ref="D59"/>
    <hyperlink r:id="rId69" ref="D60"/>
    <hyperlink r:id="rId70" ref="D61"/>
    <hyperlink r:id="rId71" ref="D62"/>
    <hyperlink r:id="rId72" ref="D63"/>
    <hyperlink r:id="rId73" ref="D64"/>
    <hyperlink r:id="rId74" ref="D65"/>
    <hyperlink r:id="rId75" ref="D66"/>
    <hyperlink r:id="rId76" ref="D67"/>
    <hyperlink r:id="rId77" ref="D68"/>
    <hyperlink r:id="rId78" ref="D69"/>
    <hyperlink r:id="rId79" ref="D70"/>
    <hyperlink r:id="rId80" ref="D71"/>
    <hyperlink r:id="rId81" ref="D72"/>
    <hyperlink r:id="rId82" ref="D73"/>
    <hyperlink r:id="rId83" ref="D74"/>
    <hyperlink r:id="rId84" ref="D75"/>
    <hyperlink r:id="rId85" ref="D76"/>
    <hyperlink r:id="rId86" ref="D77"/>
    <hyperlink r:id="rId87" ref="D78"/>
    <hyperlink r:id="rId88" ref="D79"/>
    <hyperlink r:id="rId89" ref="D80"/>
    <hyperlink r:id="rId90" ref="D81"/>
    <hyperlink r:id="rId91" ref="D82"/>
    <hyperlink r:id="rId92" ref="D83"/>
    <hyperlink r:id="rId93" ref="D84"/>
    <hyperlink r:id="rId94" ref="D85"/>
    <hyperlink r:id="rId95" ref="D86"/>
    <hyperlink r:id="rId96" ref="D87"/>
    <hyperlink r:id="rId97" ref="D88"/>
    <hyperlink r:id="rId98" ref="D89"/>
    <hyperlink r:id="rId99" ref="D90"/>
    <hyperlink r:id="rId100" ref="D91"/>
    <hyperlink r:id="rId101" ref="D92"/>
    <hyperlink r:id="rId102" ref="D93"/>
    <hyperlink r:id="rId103" ref="D94"/>
    <hyperlink r:id="rId104" ref="D95"/>
    <hyperlink r:id="rId105" ref="D96"/>
    <hyperlink r:id="rId106" ref="D97"/>
    <hyperlink r:id="rId107" ref="D98"/>
    <hyperlink r:id="rId108" ref="D99"/>
    <hyperlink r:id="rId109" ref="D100"/>
    <hyperlink r:id="rId110" ref="D101"/>
    <hyperlink r:id="rId111" ref="D102"/>
    <hyperlink r:id="rId112" ref="D103"/>
    <hyperlink r:id="rId113" ref="D104"/>
    <hyperlink r:id="rId114" ref="D105"/>
    <hyperlink r:id="rId115" ref="D106"/>
    <hyperlink r:id="rId116" ref="D107"/>
    <hyperlink r:id="rId117" ref="D108"/>
    <hyperlink r:id="rId118" ref="D109"/>
    <hyperlink r:id="rId119" ref="D110"/>
    <hyperlink r:id="rId120" ref="D111"/>
    <hyperlink r:id="rId121" ref="D112"/>
    <hyperlink r:id="rId122" ref="D113"/>
    <hyperlink r:id="rId123" ref="D114"/>
    <hyperlink r:id="rId124" ref="D115"/>
  </hyperlinks>
  <drawing r:id="rId125"/>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1C232"/>
    <outlinePr summaryBelow="0" summaryRight="0"/>
    <pageSetUpPr fitToPage="1"/>
  </sheetPr>
  <sheetViews>
    <sheetView showGridLines="0" workbookViewId="0"/>
  </sheetViews>
  <sheetFormatPr customHeight="1" defaultColWidth="12.63" defaultRowHeight="15.75"/>
  <cols>
    <col customWidth="1" min="1" max="1" width="12.63"/>
    <col customWidth="1" min="2" max="2" width="3.25"/>
    <col customWidth="1" min="3" max="3" width="92.63"/>
    <col customWidth="1" min="4" max="4" width="3.25"/>
    <col customWidth="1" min="5" max="5" width="101.63"/>
    <col customWidth="1" min="6" max="6" width="3.25"/>
    <col customWidth="1" min="12" max="12" width="12.38"/>
  </cols>
  <sheetData>
    <row r="1">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row>
    <row r="2" ht="60.0" customHeight="1">
      <c r="A2" s="42"/>
      <c r="B2" s="43" t="s">
        <v>1938</v>
      </c>
      <c r="C2" s="44"/>
      <c r="D2" s="44"/>
      <c r="E2" s="44"/>
      <c r="F2" s="45"/>
      <c r="G2" s="42"/>
      <c r="H2" s="42"/>
      <c r="I2" s="42"/>
      <c r="J2" s="42"/>
      <c r="K2" s="42"/>
      <c r="L2" s="42"/>
      <c r="M2" s="42"/>
      <c r="N2" s="42"/>
      <c r="O2" s="42"/>
      <c r="P2" s="42"/>
      <c r="Q2" s="42"/>
      <c r="R2" s="42"/>
      <c r="S2" s="42"/>
      <c r="T2" s="42"/>
      <c r="U2" s="42"/>
      <c r="V2" s="42"/>
      <c r="W2" s="42"/>
      <c r="X2" s="42"/>
      <c r="Y2" s="42"/>
      <c r="Z2" s="42"/>
      <c r="AA2" s="42"/>
      <c r="AB2" s="42"/>
    </row>
    <row r="3">
      <c r="A3" s="42"/>
      <c r="B3" s="46"/>
      <c r="C3" s="47"/>
      <c r="D3" s="48"/>
      <c r="E3" s="48"/>
      <c r="F3" s="49"/>
      <c r="G3" s="42"/>
      <c r="H3" s="42"/>
      <c r="I3" s="42"/>
      <c r="J3" s="42"/>
      <c r="K3" s="42"/>
      <c r="L3" s="42"/>
      <c r="M3" s="42"/>
      <c r="N3" s="42"/>
      <c r="O3" s="42"/>
      <c r="P3" s="42"/>
      <c r="Q3" s="42"/>
      <c r="R3" s="42"/>
      <c r="S3" s="42"/>
      <c r="T3" s="42"/>
      <c r="U3" s="42"/>
      <c r="V3" s="42"/>
      <c r="W3" s="42"/>
      <c r="X3" s="42"/>
      <c r="Y3" s="42"/>
      <c r="Z3" s="42"/>
      <c r="AA3" s="42"/>
      <c r="AB3" s="42"/>
    </row>
    <row r="4">
      <c r="A4" s="42"/>
      <c r="B4" s="46"/>
      <c r="C4" s="50" t="s">
        <v>1939</v>
      </c>
      <c r="F4" s="49"/>
      <c r="G4" s="42"/>
      <c r="H4" s="42"/>
      <c r="I4" s="42"/>
      <c r="J4" s="42"/>
      <c r="K4" s="42"/>
      <c r="L4" s="42"/>
      <c r="M4" s="42"/>
      <c r="N4" s="42"/>
      <c r="O4" s="42"/>
      <c r="P4" s="42"/>
      <c r="Q4" s="42"/>
      <c r="R4" s="42"/>
      <c r="S4" s="42"/>
      <c r="T4" s="42"/>
      <c r="U4" s="42"/>
      <c r="V4" s="42"/>
      <c r="W4" s="42"/>
      <c r="X4" s="42"/>
      <c r="Y4" s="42"/>
      <c r="Z4" s="42"/>
      <c r="AA4" s="42"/>
      <c r="AB4" s="42"/>
    </row>
    <row r="5">
      <c r="A5" s="42"/>
      <c r="B5" s="46"/>
      <c r="C5" s="51" t="s">
        <v>1940</v>
      </c>
      <c r="F5" s="49"/>
      <c r="G5" s="42"/>
      <c r="H5" s="42"/>
      <c r="I5" s="42"/>
      <c r="J5" s="42"/>
      <c r="K5" s="42"/>
      <c r="L5" s="42"/>
      <c r="M5" s="42"/>
      <c r="N5" s="42"/>
      <c r="O5" s="42"/>
      <c r="P5" s="42"/>
      <c r="Q5" s="42"/>
      <c r="R5" s="42"/>
      <c r="S5" s="42"/>
      <c r="T5" s="42"/>
      <c r="U5" s="42"/>
      <c r="V5" s="42"/>
      <c r="W5" s="42"/>
      <c r="X5" s="42"/>
      <c r="Y5" s="42"/>
      <c r="Z5" s="42"/>
      <c r="AA5" s="42"/>
      <c r="AB5" s="42"/>
    </row>
    <row r="6">
      <c r="A6" s="42"/>
      <c r="B6" s="46"/>
      <c r="C6" s="48" t="s">
        <v>1941</v>
      </c>
      <c r="F6" s="49"/>
      <c r="G6" s="42"/>
      <c r="H6" s="42"/>
      <c r="I6" s="42"/>
      <c r="J6" s="42"/>
      <c r="K6" s="42"/>
      <c r="L6" s="42"/>
      <c r="M6" s="42"/>
      <c r="N6" s="42"/>
      <c r="O6" s="42"/>
      <c r="P6" s="42"/>
      <c r="Q6" s="42"/>
      <c r="R6" s="42"/>
      <c r="S6" s="42"/>
      <c r="T6" s="42"/>
      <c r="U6" s="42"/>
      <c r="V6" s="42"/>
      <c r="W6" s="42"/>
      <c r="X6" s="42"/>
      <c r="Y6" s="42"/>
      <c r="Z6" s="42"/>
      <c r="AA6" s="42"/>
      <c r="AB6" s="42"/>
    </row>
    <row r="7">
      <c r="A7" s="42"/>
      <c r="B7" s="46"/>
      <c r="C7" s="48"/>
      <c r="D7" s="48"/>
      <c r="E7" s="48"/>
      <c r="F7" s="49"/>
      <c r="G7" s="42"/>
      <c r="H7" s="42"/>
      <c r="I7" s="42"/>
      <c r="J7" s="42"/>
      <c r="K7" s="42"/>
      <c r="L7" s="42"/>
      <c r="M7" s="42"/>
      <c r="N7" s="42"/>
      <c r="O7" s="42"/>
      <c r="P7" s="42"/>
      <c r="Q7" s="42"/>
      <c r="R7" s="42"/>
      <c r="S7" s="42"/>
      <c r="T7" s="42"/>
      <c r="U7" s="42"/>
      <c r="V7" s="42"/>
      <c r="W7" s="42"/>
      <c r="X7" s="42"/>
      <c r="Y7" s="42"/>
      <c r="Z7" s="42"/>
      <c r="AA7" s="42"/>
      <c r="AB7" s="42"/>
    </row>
    <row r="8">
      <c r="A8" s="42"/>
      <c r="B8" s="52"/>
      <c r="C8" s="53" t="s">
        <v>1942</v>
      </c>
      <c r="D8" s="54"/>
      <c r="E8" s="55" t="s">
        <v>1943</v>
      </c>
      <c r="F8" s="56"/>
      <c r="G8" s="42"/>
      <c r="H8" s="42"/>
      <c r="I8" s="42"/>
      <c r="J8" s="42"/>
      <c r="K8" s="42"/>
      <c r="L8" s="42"/>
      <c r="M8" s="42"/>
      <c r="N8" s="42"/>
      <c r="O8" s="42"/>
      <c r="P8" s="42"/>
      <c r="Q8" s="42"/>
      <c r="R8" s="42"/>
      <c r="S8" s="42"/>
      <c r="T8" s="42"/>
      <c r="U8" s="42"/>
      <c r="V8" s="42"/>
      <c r="W8" s="42"/>
      <c r="X8" s="42"/>
      <c r="Y8" s="42"/>
      <c r="Z8" s="42"/>
      <c r="AA8" s="42"/>
      <c r="AB8" s="42"/>
    </row>
    <row r="9" ht="89.25" customHeight="1">
      <c r="A9" s="42"/>
      <c r="B9" s="57"/>
      <c r="C9" s="58"/>
      <c r="D9" s="42"/>
      <c r="E9" s="59"/>
      <c r="F9" s="49"/>
      <c r="G9" s="42"/>
      <c r="H9" s="42"/>
      <c r="I9" s="42"/>
      <c r="J9" s="42"/>
      <c r="K9" s="42"/>
      <c r="L9" s="42"/>
      <c r="M9" s="42"/>
      <c r="N9" s="42"/>
      <c r="O9" s="42"/>
      <c r="P9" s="42"/>
      <c r="Q9" s="42"/>
      <c r="R9" s="42"/>
      <c r="S9" s="42"/>
      <c r="T9" s="42"/>
      <c r="U9" s="42"/>
      <c r="V9" s="42"/>
      <c r="W9" s="42"/>
      <c r="X9" s="42"/>
      <c r="Y9" s="42"/>
      <c r="Z9" s="42"/>
      <c r="AA9" s="42"/>
      <c r="AB9" s="42"/>
    </row>
    <row r="10">
      <c r="A10" s="42"/>
      <c r="B10" s="57"/>
      <c r="C10" s="60" t="s">
        <v>1944</v>
      </c>
      <c r="D10" s="42"/>
      <c r="E10" s="61"/>
      <c r="F10" s="49"/>
      <c r="G10" s="42"/>
      <c r="H10" s="42"/>
      <c r="I10" s="42"/>
      <c r="J10" s="42"/>
      <c r="K10" s="42"/>
      <c r="L10" s="42"/>
      <c r="M10" s="42"/>
      <c r="N10" s="42"/>
      <c r="O10" s="42"/>
      <c r="P10" s="42"/>
      <c r="Q10" s="42"/>
      <c r="R10" s="42"/>
      <c r="S10" s="42"/>
      <c r="T10" s="42"/>
      <c r="U10" s="42"/>
      <c r="V10" s="42"/>
      <c r="W10" s="42"/>
      <c r="X10" s="42"/>
      <c r="Y10" s="42"/>
      <c r="Z10" s="42"/>
      <c r="AA10" s="42"/>
      <c r="AB10" s="42"/>
    </row>
    <row r="11">
      <c r="A11" s="42"/>
      <c r="B11" s="57"/>
      <c r="C11" s="62"/>
      <c r="D11" s="42"/>
      <c r="E11" s="63" t="s">
        <v>1945</v>
      </c>
      <c r="F11" s="49"/>
      <c r="G11" s="42"/>
      <c r="H11" s="42"/>
      <c r="I11" s="42"/>
      <c r="J11" s="42"/>
      <c r="K11" s="42"/>
      <c r="L11" s="42"/>
      <c r="M11" s="42"/>
      <c r="N11" s="42"/>
      <c r="O11" s="42"/>
      <c r="P11" s="42"/>
      <c r="Q11" s="42"/>
      <c r="R11" s="42"/>
      <c r="S11" s="42"/>
      <c r="T11" s="42"/>
      <c r="U11" s="42"/>
      <c r="V11" s="42"/>
      <c r="W11" s="42"/>
      <c r="X11" s="42"/>
      <c r="Y11" s="42"/>
      <c r="Z11" s="42"/>
      <c r="AA11" s="42"/>
      <c r="AB11" s="42"/>
    </row>
    <row r="12" ht="194.25" customHeight="1">
      <c r="A12" s="42"/>
      <c r="B12" s="64"/>
      <c r="C12" s="65"/>
      <c r="D12" s="66"/>
      <c r="E12" s="67"/>
      <c r="F12" s="68"/>
      <c r="G12" s="42"/>
      <c r="H12" s="42"/>
      <c r="I12" s="42"/>
      <c r="J12" s="42"/>
      <c r="K12" s="42"/>
      <c r="L12" s="42"/>
      <c r="M12" s="42"/>
      <c r="N12" s="42"/>
      <c r="O12" s="42"/>
      <c r="P12" s="42"/>
      <c r="Q12" s="42"/>
      <c r="R12" s="42"/>
      <c r="S12" s="42"/>
      <c r="T12" s="42"/>
      <c r="U12" s="42"/>
      <c r="V12" s="42"/>
      <c r="W12" s="42"/>
      <c r="X12" s="42"/>
      <c r="Y12" s="42"/>
      <c r="Z12" s="42"/>
      <c r="AA12" s="42"/>
      <c r="AB12" s="42"/>
    </row>
    <row r="13">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row>
    <row r="14">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row>
    <row r="15">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row>
    <row r="16">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row>
    <row r="17">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row>
    <row r="18">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row>
    <row r="19">
      <c r="A19" s="42"/>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row>
    <row r="20">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row>
    <row r="2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row>
    <row r="22">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row>
    <row r="23">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row>
    <row r="24">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row>
    <row r="25">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row>
    <row r="26">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row>
    <row r="27">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row>
    <row r="28">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row>
    <row r="29">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row>
    <row r="30">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row>
    <row r="3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row>
    <row r="32">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row>
    <row r="33">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row>
    <row r="34">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row>
    <row r="35">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row>
    <row r="36">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row>
    <row r="37">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row>
    <row r="38">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row>
    <row r="39">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row>
    <row r="40">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row>
    <row r="4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row>
    <row r="42">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row>
    <row r="43">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row>
    <row r="44">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row>
    <row r="4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row>
    <row r="46">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row>
    <row r="47">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row>
    <row r="48">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row r="53">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row>
    <row r="56">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row>
    <row r="57">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row>
    <row r="58">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row>
    <row r="59">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row>
    <row r="60">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row>
    <row r="6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row>
    <row r="62">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row>
    <row r="63">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row>
    <row r="64">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row>
    <row r="6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row>
    <row r="66">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row>
    <row r="67">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row>
    <row r="68">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row>
    <row r="69">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row>
    <row r="70">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row>
    <row r="7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row>
    <row r="72">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row>
    <row r="73">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row>
    <row r="7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row>
    <row r="77">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row>
    <row r="78">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row>
    <row r="8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row>
    <row r="82">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row>
    <row r="83">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row>
    <row r="84">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row>
    <row r="8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row>
    <row r="87">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row>
    <row r="88">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row>
    <row r="89">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row>
    <row r="90">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row>
    <row r="92">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row>
    <row r="93">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row>
    <row r="9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row>
    <row r="96">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row>
    <row r="97">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row>
    <row r="98">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row>
    <row r="99">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row>
    <row r="10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row>
    <row r="102">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row>
    <row r="10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row>
    <row r="106">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row>
    <row r="107">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row>
    <row r="108">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row>
    <row r="109">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row>
    <row r="110">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row>
    <row r="11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row>
    <row r="112">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row>
    <row r="113">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row>
    <row r="114">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row>
    <row r="11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row>
    <row r="120">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row>
    <row r="12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row>
    <row r="122">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row>
    <row r="123">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row>
    <row r="127">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row>
    <row r="132">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row>
    <row r="13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row>
    <row r="136">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row>
    <row r="140">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row>
    <row r="14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row>
    <row r="142">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row>
    <row r="143">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row>
    <row r="144">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row>
    <row r="15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row>
    <row r="152">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row>
    <row r="153">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row>
    <row r="154">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row>
    <row r="15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row>
    <row r="156">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row>
    <row r="157">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row>
    <row r="158">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row>
    <row r="159">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row>
    <row r="160">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row>
    <row r="16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row>
    <row r="162">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row>
    <row r="168">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row>
    <row r="169">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row>
    <row r="170">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row>
    <row r="17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row>
    <row r="172">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row>
    <row r="173">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row>
    <row r="174">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row>
    <row r="17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row>
    <row r="176">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row>
    <row r="177">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row>
    <row r="178">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row>
    <row r="179">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row>
    <row r="180">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row>
    <row r="18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row>
    <row r="182">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row>
    <row r="183">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row>
    <row r="184">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row>
    <row r="186">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row>
    <row r="187">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row>
    <row r="188">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row>
    <row r="189">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row>
    <row r="190">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row>
    <row r="193">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row>
    <row r="19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row>
    <row r="196">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row>
    <row r="197">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row>
    <row r="198">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row>
    <row r="199">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row>
    <row r="200">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row>
    <row r="20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row>
    <row r="202">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row>
    <row r="203">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row>
    <row r="204">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row>
    <row r="205">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row>
    <row r="206">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row>
    <row r="207">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row>
    <row r="208">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row>
    <row r="209">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row>
    <row r="210">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row>
    <row r="21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row>
    <row r="212">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row>
    <row r="213">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row>
    <row r="214">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row>
    <row r="21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row>
    <row r="218">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row>
    <row r="219">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row>
    <row r="220">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row>
    <row r="22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row>
    <row r="222">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row>
    <row r="223">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row>
    <row r="224">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row>
    <row r="2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row>
    <row r="226">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row>
    <row r="227">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row>
    <row r="228">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row>
    <row r="229">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row>
    <row r="230">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row>
    <row r="23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row>
    <row r="232">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row>
    <row r="233">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row>
    <row r="234">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row>
    <row r="23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row>
    <row r="236">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row>
    <row r="237">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row>
    <row r="238">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row>
    <row r="239">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row>
    <row r="240">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row>
    <row r="24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row>
    <row r="242">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row>
    <row r="243">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row>
    <row r="244">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row>
    <row r="24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row>
    <row r="246">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row>
    <row r="247">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row>
    <row r="248">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row>
    <row r="249">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row>
    <row r="250">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row>
    <row r="25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row>
    <row r="252">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row>
    <row r="253">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row>
    <row r="254">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row>
    <row r="25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row>
    <row r="256">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row>
    <row r="257">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row>
    <row r="258">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row>
    <row r="259">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row>
    <row r="260">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row>
    <row r="26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row>
    <row r="262">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row>
    <row r="263">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row>
    <row r="264">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row>
    <row r="26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row>
    <row r="266">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row>
    <row r="267">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row>
    <row r="268">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row>
    <row r="269">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row>
    <row r="270">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row>
    <row r="27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row>
    <row r="272">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row>
    <row r="273">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row>
    <row r="274">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row>
    <row r="27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row>
    <row r="276">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row>
    <row r="277">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row>
    <row r="278">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row>
    <row r="279">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row>
    <row r="280">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row>
    <row r="28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row>
    <row r="282">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row>
    <row r="283">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row>
    <row r="284">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row>
    <row r="28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row>
    <row r="286">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row>
    <row r="287">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row>
    <row r="288">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row>
    <row r="289">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row>
    <row r="290">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row>
    <row r="29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row>
    <row r="292">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row>
    <row r="293">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row>
    <row r="294">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row>
    <row r="29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row>
    <row r="296">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row>
    <row r="297">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row>
    <row r="298">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row>
    <row r="299">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row>
    <row r="300">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row>
    <row r="30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row>
    <row r="302">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row>
    <row r="303">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row>
    <row r="304">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row>
    <row r="30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row>
    <row r="306">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row>
    <row r="307">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row>
    <row r="308">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row>
    <row r="309">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row>
    <row r="310">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row>
    <row r="31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row>
    <row r="312">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row>
    <row r="313">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row>
    <row r="314">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row>
    <row r="31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row>
    <row r="316">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row>
    <row r="317">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row>
    <row r="318">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row>
    <row r="319">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row>
    <row r="320">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row>
    <row r="32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row>
    <row r="322">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row>
    <row r="323">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row>
    <row r="324">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row>
    <row r="3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row>
    <row r="326">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row>
    <row r="327">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row>
    <row r="328">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row>
    <row r="329">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row>
    <row r="330">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row>
    <row r="33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row>
    <row r="332">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row>
    <row r="333">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row>
    <row r="334">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row>
    <row r="33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row>
    <row r="336">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row>
    <row r="337">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row>
    <row r="338">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row>
    <row r="339">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row>
    <row r="340">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row>
    <row r="34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row>
    <row r="342">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row>
    <row r="343">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row>
    <row r="344">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row>
    <row r="34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row>
    <row r="346">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row>
    <row r="347">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row>
    <row r="348">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row>
    <row r="349">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row>
    <row r="350">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row>
    <row r="35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row>
    <row r="352">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row>
    <row r="353">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row>
    <row r="354">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row>
    <row r="35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row>
    <row r="356">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row>
    <row r="357">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row>
    <row r="358">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row>
    <row r="359">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row>
    <row r="360">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row>
    <row r="36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row>
    <row r="362">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row>
    <row r="363">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row>
    <row r="364">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row>
    <row r="36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row>
    <row r="366">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row>
    <row r="367">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row>
    <row r="368">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row>
    <row r="369">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row>
    <row r="370">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row>
    <row r="37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row>
    <row r="372">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row>
    <row r="373">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row>
    <row r="374">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row>
    <row r="37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row>
    <row r="376">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row>
    <row r="377">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row>
    <row r="378">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row>
    <row r="379">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row>
    <row r="380">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row>
    <row r="38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row>
    <row r="382">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row>
    <row r="383">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row>
    <row r="384">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row>
    <row r="38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row>
    <row r="386">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row>
    <row r="387">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row>
    <row r="388">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row>
    <row r="389">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row>
    <row r="390">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row>
    <row r="39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row>
    <row r="392">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row>
    <row r="393">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row>
    <row r="394">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row>
    <row r="39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row>
    <row r="396">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row>
    <row r="397">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row>
    <row r="398">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row>
    <row r="399">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row>
    <row r="400">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row>
    <row r="40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row>
    <row r="402">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row>
    <row r="403">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row>
    <row r="404">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row>
    <row r="40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row>
    <row r="406">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row>
    <row r="407">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row>
    <row r="408">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row>
    <row r="409">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row>
    <row r="410">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row>
    <row r="41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row>
    <row r="412">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row>
    <row r="413">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row>
    <row r="414">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row>
    <row r="41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row>
    <row r="416">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row>
    <row r="417">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row>
    <row r="418">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row>
    <row r="419">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row>
    <row r="420">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row>
    <row r="42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row>
    <row r="422">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row>
    <row r="423">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row>
    <row r="424">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row>
    <row r="4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row>
    <row r="426">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row>
    <row r="427">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row>
    <row r="428">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row>
    <row r="429">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row>
    <row r="430">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row>
    <row r="43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row>
    <row r="432">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row>
    <row r="433">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row>
    <row r="434">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row>
    <row r="43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row>
    <row r="436">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row>
    <row r="437">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row>
    <row r="438">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row>
    <row r="439">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row>
    <row r="440">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row>
    <row r="44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row>
    <row r="442">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row>
    <row r="443">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row>
    <row r="444">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row>
    <row r="44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row>
    <row r="446">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row>
    <row r="447">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row>
    <row r="448">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row>
    <row r="449">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row>
    <row r="450">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row>
    <row r="45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row>
    <row r="452">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row>
    <row r="453">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row>
    <row r="454">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row>
    <row r="45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row>
    <row r="456">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row>
    <row r="457">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row>
    <row r="458">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row>
    <row r="459">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row>
    <row r="460">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row>
    <row r="46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row>
    <row r="462">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row>
    <row r="463">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row>
    <row r="464">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row>
    <row r="46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row>
    <row r="466">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row>
    <row r="467">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row>
    <row r="468">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row>
    <row r="469">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row>
    <row r="470">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row>
    <row r="47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row>
    <row r="472">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row>
    <row r="473">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row>
    <row r="474">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row>
    <row r="47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row>
    <row r="476">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row>
    <row r="477">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row>
    <row r="478">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row>
    <row r="479">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row>
    <row r="480">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row>
    <row r="48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row>
    <row r="482">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row>
    <row r="483">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row>
    <row r="484">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row>
    <row r="48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row>
    <row r="486">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row>
    <row r="487">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row>
    <row r="488">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row>
    <row r="489">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row>
    <row r="490">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row>
    <row r="49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row>
    <row r="492">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row>
    <row r="493">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row>
    <row r="494">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row>
    <row r="49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row>
    <row r="496">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row>
    <row r="497">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row>
    <row r="498">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row>
    <row r="499">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row>
    <row r="500">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row>
    <row r="50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row>
    <row r="502">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row>
    <row r="503">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row>
    <row r="504">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row>
    <row r="50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row>
    <row r="506">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row>
    <row r="507">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row>
    <row r="508">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row>
    <row r="509">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row>
    <row r="510">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row>
    <row r="51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row>
    <row r="512">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row>
    <row r="513">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row>
    <row r="514">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row>
    <row r="51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row>
    <row r="516">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row>
    <row r="517">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row>
    <row r="518">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row>
    <row r="519">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row>
    <row r="520">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row>
    <row r="52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row>
    <row r="522">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row>
    <row r="523">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row>
    <row r="524">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row>
    <row r="5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row>
    <row r="526">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row>
    <row r="527">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row>
    <row r="528">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row>
    <row r="529">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row>
    <row r="530">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row>
    <row r="53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row>
    <row r="532">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row>
    <row r="533">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row>
    <row r="534">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row>
    <row r="53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row>
    <row r="536">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row>
    <row r="537">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row>
    <row r="538">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row>
    <row r="539">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row>
    <row r="540">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row>
    <row r="54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row>
    <row r="542">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row>
    <row r="543">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row>
    <row r="544">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row>
    <row r="54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row>
    <row r="546">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row>
    <row r="547">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row>
    <row r="548">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row>
    <row r="549">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row>
    <row r="550">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row>
    <row r="55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row>
    <row r="552">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row>
    <row r="553">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row>
    <row r="554">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row>
    <row r="55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row>
    <row r="556">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row>
    <row r="557">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row>
    <row r="558">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row>
    <row r="559">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row>
    <row r="560">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row>
    <row r="56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row>
    <row r="562">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row>
    <row r="563">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row>
    <row r="564">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row>
    <row r="56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row>
    <row r="566">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row>
    <row r="567">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row>
    <row r="568">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row>
    <row r="569">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row>
    <row r="570">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row>
    <row r="57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row>
    <row r="572">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row>
    <row r="573">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row>
    <row r="574">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row>
    <row r="57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row>
    <row r="576">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row>
    <row r="577">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row>
    <row r="578">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row>
    <row r="579">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row>
    <row r="580">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row>
    <row r="58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row>
    <row r="582">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row>
    <row r="583">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row>
    <row r="584">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row>
    <row r="58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row>
    <row r="586">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row>
    <row r="587">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row>
    <row r="588">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row>
    <row r="589">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row>
    <row r="590">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row>
    <row r="59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row>
    <row r="592">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row>
    <row r="593">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row>
    <row r="594">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row>
    <row r="59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row>
    <row r="596">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row>
    <row r="597">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row>
    <row r="598">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row>
    <row r="599">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row>
    <row r="600">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row>
    <row r="60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row>
    <row r="602">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row>
    <row r="603">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row>
    <row r="604">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row>
    <row r="60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row>
    <row r="606">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row>
    <row r="607">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row>
    <row r="608">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row>
    <row r="609">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row>
    <row r="610">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row>
    <row r="61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row>
    <row r="612">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row>
    <row r="613">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row>
    <row r="614">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row>
    <row r="61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row>
    <row r="616">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row>
    <row r="617">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row>
    <row r="618">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row>
    <row r="619">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row>
    <row r="620">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row>
    <row r="62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row>
    <row r="622">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row>
    <row r="623">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row>
    <row r="624">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row>
    <row r="6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row>
    <row r="626">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row>
    <row r="627">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row>
    <row r="628">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row>
    <row r="629">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row>
    <row r="630">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row>
    <row r="63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row>
    <row r="632">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row>
    <row r="633">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row>
    <row r="634">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row>
    <row r="63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row>
    <row r="636">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row>
    <row r="637">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row>
    <row r="638">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row>
    <row r="639">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row>
    <row r="640">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row>
    <row r="64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row>
    <row r="642">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row>
    <row r="643">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row>
    <row r="644">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row>
    <row r="64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row>
    <row r="646">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row>
    <row r="647">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row>
    <row r="648">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row>
    <row r="649">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row>
    <row r="650">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row>
    <row r="65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row>
    <row r="652">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row>
    <row r="653">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row>
    <row r="654">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row>
    <row r="65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row>
    <row r="656">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row>
    <row r="657">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row>
    <row r="658">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row>
    <row r="659">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row>
    <row r="660">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row>
    <row r="66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row>
    <row r="662">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row>
    <row r="663">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row>
    <row r="664">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row>
    <row r="66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row>
    <row r="666">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row>
    <row r="667">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row>
    <row r="668">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row>
    <row r="669">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row>
    <row r="670">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row>
    <row r="67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row>
    <row r="672">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row>
    <row r="673">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row>
    <row r="674">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row>
    <row r="67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row>
    <row r="676">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row>
    <row r="677">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row>
    <row r="678">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row>
    <row r="679">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row>
    <row r="680">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row>
    <row r="68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row>
    <row r="682">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row>
    <row r="683">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row>
    <row r="684">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row>
    <row r="68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row>
    <row r="686">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row>
    <row r="687">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row>
    <row r="688">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row>
    <row r="689">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row>
    <row r="690">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row>
    <row r="69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row>
    <row r="692">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row>
    <row r="693">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row>
    <row r="694">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row>
    <row r="69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row>
    <row r="696">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row>
    <row r="697">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row>
    <row r="698">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row>
    <row r="699">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row>
    <row r="700">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row>
    <row r="70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row>
    <row r="702">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row>
    <row r="703">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row>
    <row r="704">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row>
    <row r="70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row>
    <row r="706">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row>
    <row r="707">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row>
    <row r="708">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row>
    <row r="709">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row>
    <row r="710">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row>
    <row r="71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row>
    <row r="712">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row>
    <row r="713">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row>
    <row r="714">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row>
    <row r="71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row>
    <row r="716">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row>
    <row r="717">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row>
    <row r="718">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row>
    <row r="719">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row>
    <row r="720">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row>
    <row r="72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row>
    <row r="722">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row>
    <row r="723">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row>
    <row r="724">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row>
    <row r="7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row>
    <row r="726">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row>
    <row r="727">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row>
    <row r="728">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row>
    <row r="729">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row>
    <row r="730">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row>
    <row r="73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row>
    <row r="732">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row>
    <row r="733">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row>
    <row r="734">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row>
    <row r="73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row>
    <row r="736">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row>
    <row r="737">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row>
    <row r="738">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row>
    <row r="739">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row>
    <row r="740">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row>
    <row r="74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row>
    <row r="742">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row>
    <row r="743">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row>
    <row r="744">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row>
    <row r="74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row>
    <row r="746">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row>
    <row r="747">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row>
    <row r="748">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row>
    <row r="749">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row>
    <row r="750">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row>
    <row r="75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row>
    <row r="752">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row>
    <row r="753">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row>
    <row r="754">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row>
    <row r="75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row>
    <row r="756">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row>
    <row r="757">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row>
    <row r="758">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row>
    <row r="759">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row>
    <row r="760">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row>
    <row r="76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row>
    <row r="762">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row>
    <row r="763">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row>
    <row r="764">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row>
    <row r="76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row>
    <row r="766">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row>
    <row r="767">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row>
    <row r="768">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row>
    <row r="769">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row>
    <row r="770">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row>
    <row r="77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row>
    <row r="772">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row>
    <row r="773">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row>
    <row r="774">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row>
    <row r="77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row>
    <row r="776">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row>
    <row r="777">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row>
    <row r="778">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row>
    <row r="779">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row>
    <row r="780">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row>
    <row r="78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row>
    <row r="782">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row>
    <row r="783">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row>
    <row r="784">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row>
    <row r="78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row>
    <row r="786">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row>
    <row r="787">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row>
    <row r="788">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row>
    <row r="789">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row>
    <row r="790">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row>
    <row r="79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row>
    <row r="792">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row>
    <row r="793">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row>
    <row r="794">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row>
    <row r="79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row>
    <row r="796">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row>
    <row r="797">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row>
    <row r="798">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row>
    <row r="799">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row>
    <row r="800">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row>
    <row r="80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row>
    <row r="802">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row>
    <row r="803">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row>
    <row r="804">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row>
    <row r="80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row>
    <row r="806">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row>
    <row r="807">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row>
    <row r="808">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row>
    <row r="809">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row>
    <row r="810">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row>
    <row r="81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row>
    <row r="812">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row>
    <row r="813">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row>
    <row r="814">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row>
    <row r="81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row>
    <row r="816">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row>
    <row r="817">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row>
    <row r="818">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row>
    <row r="819">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row>
    <row r="820">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row>
    <row r="82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row>
    <row r="822">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row>
    <row r="823">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row>
    <row r="824">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row>
    <row r="8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row>
    <row r="826">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row>
    <row r="827">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row>
    <row r="828">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row>
    <row r="829">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row>
    <row r="830">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row>
    <row r="83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row>
    <row r="832">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row>
    <row r="833">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row>
    <row r="834">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row>
    <row r="83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row>
    <row r="836">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row>
    <row r="837">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row>
    <row r="838">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row>
    <row r="839">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row>
    <row r="840">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row>
    <row r="84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row>
    <row r="842">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row>
    <row r="843">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row>
    <row r="844">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row>
    <row r="84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row>
    <row r="846">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row>
    <row r="847">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row>
    <row r="848">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row>
    <row r="849">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row>
    <row r="850">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row>
    <row r="85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row>
    <row r="852">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row>
    <row r="853">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row>
    <row r="854">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row>
    <row r="85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row>
    <row r="856">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row>
    <row r="857">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row>
    <row r="858">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row>
    <row r="859">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row>
    <row r="860">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row>
    <row r="86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row>
    <row r="862">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row>
    <row r="863">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row>
    <row r="864">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row>
    <row r="86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row>
    <row r="866">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row>
    <row r="867">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row>
    <row r="868">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row>
    <row r="869">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row>
    <row r="870">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row>
    <row r="87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row>
    <row r="872">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row>
    <row r="873">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row>
    <row r="874">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row>
    <row r="87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row>
    <row r="876">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row>
    <row r="877">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row>
    <row r="878">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row>
    <row r="879">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row>
    <row r="880">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row>
    <row r="88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row>
    <row r="882">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row>
    <row r="883">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row>
    <row r="884">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row>
    <row r="88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row>
    <row r="886">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row>
    <row r="887">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row>
    <row r="888">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row>
    <row r="889">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row>
    <row r="890">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row>
    <row r="89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row>
    <row r="892">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row>
    <row r="893">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row>
    <row r="894">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row>
    <row r="89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row>
    <row r="896">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row>
    <row r="897">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row>
    <row r="898">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row>
    <row r="899">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row>
    <row r="900">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row>
    <row r="90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row>
    <row r="902">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row>
    <row r="903">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row>
    <row r="904">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row>
    <row r="90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row>
    <row r="906">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row>
    <row r="907">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row>
    <row r="908">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row>
    <row r="909">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row>
    <row r="910">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row>
    <row r="91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row>
    <row r="912">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row>
    <row r="913">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row>
    <row r="914">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row>
    <row r="91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row>
    <row r="916">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row>
    <row r="917">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row>
    <row r="918">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row>
    <row r="919">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row>
    <row r="920">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row>
    <row r="92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row>
    <row r="922">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row>
    <row r="923">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row>
    <row r="924">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row>
    <row r="9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row>
    <row r="926">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row>
    <row r="927">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row>
    <row r="928">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row>
    <row r="929">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row>
    <row r="930">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row>
    <row r="93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row>
    <row r="932">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row>
    <row r="933">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row>
    <row r="934">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row>
    <row r="93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row>
    <row r="936">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row>
    <row r="937">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row>
    <row r="938">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row>
    <row r="939">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row>
    <row r="940">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row>
    <row r="94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row>
    <row r="942">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row>
    <row r="943">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row>
    <row r="944">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row>
    <row r="94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row>
    <row r="946">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row>
    <row r="947">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row>
    <row r="948">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row>
    <row r="949">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row>
    <row r="950">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row>
    <row r="95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row>
    <row r="952">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row>
    <row r="953">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row>
    <row r="954">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row>
    <row r="95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row>
    <row r="956">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row>
    <row r="957">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row>
    <row r="958">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row>
    <row r="959">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row>
    <row r="960">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row>
    <row r="96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row>
    <row r="962">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row>
    <row r="963">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row>
    <row r="964">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row>
    <row r="96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row>
    <row r="966">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row>
    <row r="967">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row>
    <row r="968">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row>
    <row r="969">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row>
    <row r="970">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row>
    <row r="97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row>
    <row r="972">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row>
    <row r="973">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row>
    <row r="974">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row>
    <row r="97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row>
    <row r="976">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row>
    <row r="977">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row>
    <row r="978">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row>
    <row r="979">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row>
    <row r="980">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row>
    <row r="98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row>
    <row r="982">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row>
    <row r="983">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row>
    <row r="984">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row>
    <row r="98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row>
    <row r="986">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row>
    <row r="987">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row>
    <row r="988">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row>
    <row r="989">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row>
    <row r="990">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row>
    <row r="99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row>
    <row r="992">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row>
    <row r="993">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row>
    <row r="994">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row>
    <row r="99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row>
    <row r="996">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row>
    <row r="997">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row>
    <row r="998">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row>
    <row r="999">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row>
    <row r="1000">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row>
    <row r="1001">
      <c r="A1001" s="42"/>
      <c r="B1001" s="42"/>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c r="Z1001" s="42"/>
      <c r="AA1001" s="42"/>
      <c r="AB1001" s="42"/>
    </row>
    <row r="1002">
      <c r="A1002" s="42"/>
      <c r="B1002" s="42"/>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c r="Z1002" s="42"/>
      <c r="AA1002" s="42"/>
      <c r="AB1002" s="42"/>
    </row>
    <row r="1003">
      <c r="A1003" s="42"/>
      <c r="B1003" s="42"/>
      <c r="C1003" s="42"/>
      <c r="D1003" s="42"/>
      <c r="E1003" s="42"/>
      <c r="F1003" s="42"/>
      <c r="G1003" s="42"/>
      <c r="H1003" s="42"/>
      <c r="I1003" s="42"/>
      <c r="J1003" s="42"/>
      <c r="K1003" s="42"/>
      <c r="L1003" s="42"/>
      <c r="M1003" s="42"/>
      <c r="N1003" s="42"/>
      <c r="O1003" s="42"/>
      <c r="P1003" s="42"/>
      <c r="Q1003" s="42"/>
      <c r="R1003" s="42"/>
      <c r="S1003" s="42"/>
      <c r="T1003" s="42"/>
      <c r="U1003" s="42"/>
      <c r="V1003" s="42"/>
      <c r="W1003" s="42"/>
      <c r="X1003" s="42"/>
      <c r="Y1003" s="42"/>
      <c r="Z1003" s="42"/>
      <c r="AA1003" s="42"/>
      <c r="AB1003" s="42"/>
    </row>
    <row r="1004">
      <c r="A1004" s="42"/>
      <c r="B1004" s="42"/>
      <c r="C1004" s="42"/>
      <c r="D1004" s="42"/>
      <c r="E1004" s="42"/>
      <c r="F1004" s="42"/>
      <c r="G1004" s="42"/>
      <c r="H1004" s="42"/>
      <c r="I1004" s="42"/>
      <c r="J1004" s="42"/>
      <c r="K1004" s="42"/>
      <c r="L1004" s="42"/>
      <c r="M1004" s="42"/>
      <c r="N1004" s="42"/>
      <c r="O1004" s="42"/>
      <c r="P1004" s="42"/>
      <c r="Q1004" s="42"/>
      <c r="R1004" s="42"/>
      <c r="S1004" s="42"/>
      <c r="T1004" s="42"/>
      <c r="U1004" s="42"/>
      <c r="V1004" s="42"/>
      <c r="W1004" s="42"/>
      <c r="X1004" s="42"/>
      <c r="Y1004" s="42"/>
      <c r="Z1004" s="42"/>
      <c r="AA1004" s="42"/>
      <c r="AB1004" s="42"/>
    </row>
    <row r="1005">
      <c r="A1005" s="42"/>
      <c r="B1005" s="42"/>
      <c r="C1005" s="42"/>
      <c r="D1005" s="42"/>
      <c r="E1005" s="42"/>
      <c r="F1005" s="42"/>
      <c r="G1005" s="42"/>
      <c r="H1005" s="42"/>
      <c r="I1005" s="42"/>
      <c r="J1005" s="42"/>
      <c r="K1005" s="42"/>
      <c r="L1005" s="42"/>
      <c r="M1005" s="42"/>
      <c r="N1005" s="42"/>
      <c r="O1005" s="42"/>
      <c r="P1005" s="42"/>
      <c r="Q1005" s="42"/>
      <c r="R1005" s="42"/>
      <c r="S1005" s="42"/>
      <c r="T1005" s="42"/>
      <c r="U1005" s="42"/>
      <c r="V1005" s="42"/>
      <c r="W1005" s="42"/>
      <c r="X1005" s="42"/>
      <c r="Y1005" s="42"/>
      <c r="Z1005" s="42"/>
      <c r="AA1005" s="42"/>
      <c r="AB1005" s="42"/>
    </row>
  </sheetData>
  <mergeCells count="5">
    <mergeCell ref="B2:F2"/>
    <mergeCell ref="C4:E4"/>
    <mergeCell ref="C5:E5"/>
    <mergeCell ref="C6:E6"/>
    <mergeCell ref="C11:C12"/>
  </mergeCells>
  <hyperlinks>
    <hyperlink display="&#10;Go to the Table of Contents tab for a list of the top competencies most frequently requested by LinkedIn Learning customers. &#10;&#10;In this tab you'll find the following:&#10;&#10;•Each competency title contains a hyperlink that will navigate you to its respective tab&#10;" location="'Table of Contents'!B1:E1" ref="C8"/>
    <hyperlink display="&#10;Go to the Competency Learning Paths tab for a list of custom created Learning Paths that align with our topmost requested competencies.&#10;&#10;In this tab you'll find the following:&#10;• Learning Path titles contain embeded links&#10;• A description of the skills with which it will equip the learner&#10;• Our Competency Learning Paths are tailored for the general audience" location="'Competency Learning Paths'!B1:K1" ref="E8"/>
  </hyperlinks>
  <printOptions gridLines="1" horizontalCentered="1"/>
  <pageMargins bottom="0.75" footer="0.0" header="0.0" left="0.7" right="0.7" top="0.75"/>
  <pageSetup fitToHeight="0" paperSize="5"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563C1"/>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1" width="6.38"/>
    <col customWidth="1" min="2" max="2" width="5.38"/>
    <col customWidth="1" min="3" max="3" width="76.13"/>
    <col customWidth="1" min="4" max="4" width="50.75"/>
    <col customWidth="1" min="5" max="5" width="12.63"/>
    <col customWidth="1" min="6" max="6" width="15.75"/>
    <col customWidth="1" min="7" max="7" width="19.0"/>
    <col customWidth="1" min="8" max="8" width="5.13"/>
  </cols>
  <sheetData>
    <row r="1" ht="45.0" customHeight="1" outlineLevel="1">
      <c r="A1" s="69"/>
      <c r="B1" s="70" t="s">
        <v>1946</v>
      </c>
      <c r="C1" s="71"/>
      <c r="D1" s="71"/>
      <c r="E1" s="71"/>
      <c r="F1" s="72" t="s">
        <v>1947</v>
      </c>
      <c r="G1" s="73"/>
      <c r="H1" s="69"/>
    </row>
    <row r="2" outlineLevel="1">
      <c r="A2" s="69"/>
      <c r="B2" s="74"/>
      <c r="C2" s="75" t="s">
        <v>1948</v>
      </c>
      <c r="D2" s="76"/>
      <c r="G2" s="77"/>
      <c r="H2" s="78"/>
    </row>
    <row r="3" outlineLevel="1">
      <c r="A3" s="69"/>
      <c r="B3" s="79" t="s">
        <v>1949</v>
      </c>
      <c r="C3" s="80" t="s">
        <v>1950</v>
      </c>
      <c r="D3" s="81" t="s">
        <v>1951</v>
      </c>
      <c r="G3" s="77"/>
      <c r="H3" s="69"/>
    </row>
    <row r="4" ht="7.5" customHeight="1" outlineLevel="1">
      <c r="A4" s="82"/>
      <c r="B4" s="82"/>
      <c r="H4" s="82"/>
    </row>
    <row r="5" ht="52.5" customHeight="1">
      <c r="A5" s="69"/>
      <c r="B5" s="83">
        <v>1.0</v>
      </c>
      <c r="C5" s="84" t="s">
        <v>7</v>
      </c>
      <c r="D5" s="85" t="s">
        <v>1952</v>
      </c>
      <c r="E5" s="86"/>
      <c r="F5" s="86"/>
      <c r="G5" s="87"/>
      <c r="H5" s="69"/>
    </row>
    <row r="6" ht="52.5" customHeight="1">
      <c r="A6" s="69"/>
      <c r="B6" s="83">
        <v>2.0</v>
      </c>
      <c r="C6" s="84" t="s">
        <v>107</v>
      </c>
      <c r="D6" s="85" t="s">
        <v>1953</v>
      </c>
      <c r="E6" s="86"/>
      <c r="F6" s="86"/>
      <c r="G6" s="87"/>
      <c r="H6" s="88" t="s">
        <v>1954</v>
      </c>
    </row>
    <row r="7" ht="52.5" customHeight="1">
      <c r="A7" s="69"/>
      <c r="B7" s="83">
        <v>3.0</v>
      </c>
      <c r="C7" s="84" t="s">
        <v>160</v>
      </c>
      <c r="D7" s="85" t="s">
        <v>1955</v>
      </c>
      <c r="E7" s="86"/>
      <c r="F7" s="86"/>
      <c r="G7" s="87"/>
      <c r="H7" s="69"/>
    </row>
    <row r="8" ht="52.5" customHeight="1">
      <c r="A8" s="69"/>
      <c r="B8" s="83">
        <v>4.0</v>
      </c>
      <c r="C8" s="84" t="s">
        <v>229</v>
      </c>
      <c r="D8" s="85" t="s">
        <v>1956</v>
      </c>
      <c r="E8" s="86"/>
      <c r="F8" s="86"/>
      <c r="G8" s="87"/>
      <c r="H8" s="69"/>
    </row>
    <row r="9" ht="52.5" customHeight="1">
      <c r="A9" s="69"/>
      <c r="B9" s="83">
        <v>5.0</v>
      </c>
      <c r="C9" s="84" t="s">
        <v>290</v>
      </c>
      <c r="D9" s="85" t="s">
        <v>1957</v>
      </c>
      <c r="E9" s="86"/>
      <c r="F9" s="86"/>
      <c r="G9" s="87"/>
      <c r="H9" s="69"/>
    </row>
    <row r="10" ht="52.5" customHeight="1">
      <c r="A10" s="69"/>
      <c r="B10" s="83">
        <v>6.0</v>
      </c>
      <c r="C10" s="84" t="s">
        <v>397</v>
      </c>
      <c r="D10" s="85" t="s">
        <v>1958</v>
      </c>
      <c r="E10" s="86"/>
      <c r="F10" s="86"/>
      <c r="G10" s="87"/>
      <c r="H10" s="69"/>
    </row>
    <row r="11" ht="52.5" customHeight="1">
      <c r="A11" s="69"/>
      <c r="B11" s="83">
        <v>7.0</v>
      </c>
      <c r="C11" s="84" t="s">
        <v>426</v>
      </c>
      <c r="D11" s="85" t="s">
        <v>1959</v>
      </c>
      <c r="E11" s="86"/>
      <c r="F11" s="86"/>
      <c r="G11" s="87"/>
      <c r="H11" s="69"/>
    </row>
    <row r="12" ht="52.5" customHeight="1">
      <c r="A12" s="69"/>
      <c r="B12" s="83">
        <v>8.0</v>
      </c>
      <c r="C12" s="84" t="s">
        <v>582</v>
      </c>
      <c r="D12" s="85" t="s">
        <v>1960</v>
      </c>
      <c r="E12" s="86"/>
      <c r="F12" s="86"/>
      <c r="G12" s="87"/>
      <c r="H12" s="69"/>
    </row>
    <row r="13" ht="52.5" customHeight="1">
      <c r="A13" s="69"/>
      <c r="B13" s="83">
        <v>9.0</v>
      </c>
      <c r="C13" s="84" t="s">
        <v>638</v>
      </c>
      <c r="D13" s="85" t="s">
        <v>1961</v>
      </c>
      <c r="E13" s="86"/>
      <c r="F13" s="86"/>
      <c r="G13" s="87"/>
      <c r="H13" s="69"/>
    </row>
    <row r="14" ht="52.5" customHeight="1">
      <c r="A14" s="69"/>
      <c r="B14" s="83">
        <v>10.0</v>
      </c>
      <c r="C14" s="84" t="s">
        <v>674</v>
      </c>
      <c r="D14" s="85" t="s">
        <v>1962</v>
      </c>
      <c r="E14" s="86"/>
      <c r="F14" s="86"/>
      <c r="G14" s="87"/>
      <c r="H14" s="69"/>
    </row>
    <row r="15" ht="52.5" customHeight="1">
      <c r="A15" s="69"/>
      <c r="B15" s="83">
        <v>11.0</v>
      </c>
      <c r="C15" s="84" t="s">
        <v>733</v>
      </c>
      <c r="D15" s="85" t="s">
        <v>1963</v>
      </c>
      <c r="E15" s="86"/>
      <c r="F15" s="86"/>
      <c r="G15" s="87"/>
      <c r="H15" s="69"/>
    </row>
    <row r="16" ht="52.5" customHeight="1">
      <c r="A16" s="69"/>
      <c r="B16" s="83">
        <v>12.0</v>
      </c>
      <c r="C16" s="84" t="s">
        <v>834</v>
      </c>
      <c r="D16" s="85" t="s">
        <v>1964</v>
      </c>
      <c r="E16" s="86"/>
      <c r="F16" s="86"/>
      <c r="G16" s="87"/>
      <c r="H16" s="69"/>
    </row>
    <row r="17" ht="52.5" customHeight="1">
      <c r="A17" s="69"/>
      <c r="B17" s="83">
        <v>13.0</v>
      </c>
      <c r="C17" s="89" t="s">
        <v>889</v>
      </c>
      <c r="D17" s="85" t="s">
        <v>1965</v>
      </c>
      <c r="E17" s="86"/>
      <c r="F17" s="86"/>
      <c r="G17" s="87"/>
      <c r="H17" s="69"/>
    </row>
    <row r="18" ht="60.0" customHeight="1">
      <c r="A18" s="69"/>
      <c r="B18" s="83">
        <v>14.0</v>
      </c>
      <c r="C18" s="84" t="s">
        <v>993</v>
      </c>
      <c r="D18" s="85" t="s">
        <v>1966</v>
      </c>
      <c r="E18" s="86"/>
      <c r="F18" s="86"/>
      <c r="G18" s="87"/>
      <c r="H18" s="69"/>
    </row>
    <row r="19" ht="52.5" customHeight="1">
      <c r="A19" s="69"/>
      <c r="B19" s="83">
        <v>15.0</v>
      </c>
      <c r="C19" s="84" t="s">
        <v>1068</v>
      </c>
      <c r="D19" s="85" t="s">
        <v>1967</v>
      </c>
      <c r="E19" s="86"/>
      <c r="F19" s="86"/>
      <c r="G19" s="87"/>
      <c r="H19" s="69"/>
    </row>
    <row r="20" ht="52.5" customHeight="1">
      <c r="A20" s="69"/>
      <c r="B20" s="83">
        <v>16.0</v>
      </c>
      <c r="C20" s="84" t="s">
        <v>1227</v>
      </c>
      <c r="D20" s="85" t="s">
        <v>1968</v>
      </c>
      <c r="E20" s="86"/>
      <c r="F20" s="86"/>
      <c r="G20" s="87"/>
      <c r="H20" s="69"/>
    </row>
    <row r="21" ht="52.5" customHeight="1">
      <c r="A21" s="69"/>
      <c r="B21" s="83">
        <v>17.0</v>
      </c>
      <c r="C21" s="89" t="s">
        <v>1273</v>
      </c>
      <c r="D21" s="85" t="s">
        <v>1969</v>
      </c>
      <c r="E21" s="86"/>
      <c r="F21" s="86"/>
      <c r="G21" s="87"/>
      <c r="H21" s="69"/>
    </row>
    <row r="22" ht="52.5" customHeight="1">
      <c r="A22" s="69"/>
      <c r="B22" s="83">
        <v>18.0</v>
      </c>
      <c r="C22" s="84" t="s">
        <v>1344</v>
      </c>
      <c r="D22" s="85" t="s">
        <v>1970</v>
      </c>
      <c r="E22" s="86"/>
      <c r="F22" s="86"/>
      <c r="G22" s="87"/>
      <c r="H22" s="69"/>
    </row>
    <row r="23" ht="52.5" customHeight="1">
      <c r="A23" s="69"/>
      <c r="B23" s="83">
        <v>19.0</v>
      </c>
      <c r="C23" s="84" t="s">
        <v>1384</v>
      </c>
      <c r="D23" s="85" t="s">
        <v>1971</v>
      </c>
      <c r="E23" s="86"/>
      <c r="F23" s="86"/>
      <c r="G23" s="87"/>
      <c r="H23" s="69"/>
    </row>
    <row r="24" ht="52.5" customHeight="1">
      <c r="A24" s="69"/>
      <c r="B24" s="83">
        <v>20.0</v>
      </c>
      <c r="C24" s="84" t="s">
        <v>1448</v>
      </c>
      <c r="D24" s="85" t="s">
        <v>1972</v>
      </c>
      <c r="E24" s="86"/>
      <c r="F24" s="86"/>
      <c r="G24" s="87"/>
      <c r="H24" s="69"/>
    </row>
    <row r="25" ht="52.5" customHeight="1">
      <c r="A25" s="69"/>
      <c r="B25" s="83">
        <v>21.0</v>
      </c>
      <c r="C25" s="84" t="s">
        <v>1486</v>
      </c>
      <c r="D25" s="85" t="s">
        <v>1973</v>
      </c>
      <c r="E25" s="86"/>
      <c r="F25" s="86"/>
      <c r="G25" s="87"/>
      <c r="H25" s="69"/>
    </row>
    <row r="26" ht="52.5" customHeight="1">
      <c r="A26" s="69"/>
      <c r="B26" s="83">
        <v>22.0</v>
      </c>
      <c r="C26" s="84" t="s">
        <v>1582</v>
      </c>
      <c r="D26" s="85" t="s">
        <v>1974</v>
      </c>
      <c r="E26" s="86"/>
      <c r="F26" s="86"/>
      <c r="G26" s="87"/>
      <c r="H26" s="69"/>
    </row>
    <row r="27" ht="52.5" customHeight="1">
      <c r="A27" s="69"/>
      <c r="B27" s="83">
        <v>23.0</v>
      </c>
      <c r="C27" s="84" t="s">
        <v>1671</v>
      </c>
      <c r="D27" s="85" t="s">
        <v>1975</v>
      </c>
      <c r="E27" s="86"/>
      <c r="F27" s="86"/>
      <c r="G27" s="87"/>
      <c r="H27" s="69"/>
    </row>
    <row r="28" ht="52.5" customHeight="1">
      <c r="A28" s="69"/>
      <c r="B28" s="83">
        <v>24.0</v>
      </c>
      <c r="C28" s="84" t="s">
        <v>1712</v>
      </c>
      <c r="D28" s="85" t="s">
        <v>1976</v>
      </c>
      <c r="E28" s="86"/>
      <c r="F28" s="86"/>
      <c r="G28" s="87"/>
      <c r="H28" s="69"/>
    </row>
    <row r="29" ht="52.5" customHeight="1">
      <c r="A29" s="69"/>
      <c r="B29" s="83">
        <v>25.0</v>
      </c>
      <c r="C29" s="84" t="s">
        <v>1348</v>
      </c>
      <c r="D29" s="85" t="s">
        <v>1977</v>
      </c>
      <c r="E29" s="86"/>
      <c r="F29" s="86"/>
      <c r="G29" s="87"/>
      <c r="H29" s="69"/>
    </row>
    <row r="30" ht="52.5" customHeight="1">
      <c r="A30" s="69"/>
      <c r="B30" s="83">
        <v>26.0</v>
      </c>
      <c r="C30" s="84" t="s">
        <v>1747</v>
      </c>
      <c r="D30" s="85" t="s">
        <v>1978</v>
      </c>
      <c r="E30" s="86"/>
      <c r="F30" s="86"/>
      <c r="G30" s="87"/>
      <c r="H30" s="69"/>
    </row>
    <row r="31" ht="52.5" customHeight="1">
      <c r="A31" s="69"/>
      <c r="B31" s="83">
        <v>27.0</v>
      </c>
      <c r="C31" s="84" t="s">
        <v>1808</v>
      </c>
      <c r="D31" s="85" t="s">
        <v>1979</v>
      </c>
      <c r="E31" s="86"/>
      <c r="F31" s="86"/>
      <c r="G31" s="87"/>
      <c r="H31" s="69"/>
    </row>
    <row r="32" ht="52.5" customHeight="1">
      <c r="A32" s="69"/>
      <c r="B32" s="83">
        <v>28.0</v>
      </c>
      <c r="C32" s="84" t="s">
        <v>1834</v>
      </c>
      <c r="D32" s="85" t="s">
        <v>1980</v>
      </c>
      <c r="E32" s="86"/>
      <c r="F32" s="86"/>
      <c r="G32" s="87"/>
      <c r="H32" s="69"/>
    </row>
    <row r="33" ht="52.5" customHeight="1">
      <c r="A33" s="90" t="s">
        <v>1923</v>
      </c>
      <c r="B33" s="83">
        <v>29.0</v>
      </c>
      <c r="C33" s="89" t="s">
        <v>1923</v>
      </c>
      <c r="D33" s="85" t="s">
        <v>1981</v>
      </c>
      <c r="E33" s="86"/>
      <c r="F33" s="86"/>
      <c r="G33" s="87"/>
      <c r="H33" s="69"/>
    </row>
  </sheetData>
  <mergeCells count="34">
    <mergeCell ref="B1:E1"/>
    <mergeCell ref="F1:G1"/>
    <mergeCell ref="D2:G2"/>
    <mergeCell ref="D3:G3"/>
    <mergeCell ref="B4:G4"/>
    <mergeCell ref="D5:G5"/>
    <mergeCell ref="D6:G6"/>
    <mergeCell ref="D7:G7"/>
    <mergeCell ref="D8:G8"/>
    <mergeCell ref="D9:G9"/>
    <mergeCell ref="D10:G10"/>
    <mergeCell ref="D11:G11"/>
    <mergeCell ref="D12:G12"/>
    <mergeCell ref="D13:G13"/>
    <mergeCell ref="D14:G14"/>
    <mergeCell ref="D15:G15"/>
    <mergeCell ref="D16:G16"/>
    <mergeCell ref="D17:G17"/>
    <mergeCell ref="D18:G18"/>
    <mergeCell ref="D19:G19"/>
    <mergeCell ref="D20:G20"/>
    <mergeCell ref="D28:G28"/>
    <mergeCell ref="D29:G29"/>
    <mergeCell ref="D30:G30"/>
    <mergeCell ref="D31:G31"/>
    <mergeCell ref="D32:G32"/>
    <mergeCell ref="D33:G33"/>
    <mergeCell ref="D21:G21"/>
    <mergeCell ref="D22:G22"/>
    <mergeCell ref="D23:G23"/>
    <mergeCell ref="D24:G24"/>
    <mergeCell ref="D25:G25"/>
    <mergeCell ref="D26:G26"/>
    <mergeCell ref="D27:G27"/>
  </mergeCells>
  <hyperlinks>
    <hyperlink display="Accountability and Results-Oriented" location="'Competencies 1-2'!C4" ref="C5"/>
    <hyperlink display="Adaptability" location="'Competencies 1-2'!L5" ref="C6"/>
    <hyperlink display="Building and Managing Effective Teams" location="'Competencies 3-4'!C4" ref="C7"/>
    <hyperlink display="Building Trust and Collaborating with Others" location="'Competencies 3-4'!L4" ref="C8"/>
    <hyperlink display="Communication and Interpersonal Influence" location="'Competencies 5-6'!C5" ref="C9"/>
    <hyperlink display="Conflict Management and Conflict Resolution" location="'Competencies 5-6'!L4" ref="C10"/>
    <hyperlink display="Content Marketing, Digital Marketing, and Marketing Strategies" location="'Competencies 7-8'!C4" ref="C11"/>
    <hyperlink display="Creative Thinking and Innovation" location="'Competencies 7-8'!L4" ref="C12"/>
    <hyperlink display="Critical Thinking, Decision Making, and Problem Solving" location="'Competencies 9-10'!C4" ref="C13"/>
    <hyperlink display="Customer Focus" location="'Competencies 9-10'!L4" ref="C14"/>
    <hyperlink display="Data Analysis" location="'Competencies 11-12'!C4" ref="C15"/>
    <hyperlink display="Designing, Training, and Instructing Courses" location="'Competencies 11-12'!C4" ref="C16"/>
    <hyperlink display="Financial and Accounting Knowledge" location="'Competencies 13-14'!C4" ref="C17"/>
    <hyperlink display="Human Resources Knowledge and HR Management" location="'Competencies 13-14'!C4" ref="C18"/>
    <hyperlink display="IT, Machine Learning, &amp; Technology Foundational Knowledge" location="'Competencies 15-16'!C4" ref="C19"/>
    <hyperlink display="Leading Change" location="'Competencies 15-16'!C4" ref="C20"/>
    <hyperlink display="Leading Others Effectively and Transformational Leadership" location="'Competencies 17-18'!C4" ref="C21"/>
    <hyperlink display="Managing Others Effectively" location="'Competencies 17-18'!C4" ref="C22"/>
    <hyperlink display="Operational Excellence and Process Improvement" location="'Competencies 19-20'!C4" ref="C23"/>
    <hyperlink display="Presentation Skills" location="'Competencies 19-20'!C4" ref="C24"/>
    <hyperlink display="Project Management" location="'Competencies 21-22'!C4" ref="C25"/>
    <hyperlink display="Sales Knowledge and Sales Skills" location="'Competencies 21-22'!C4" ref="C26"/>
    <hyperlink display="Strategic Planning and Strategic Thinking" location="'Competencies 23-24'!C4" ref="C27"/>
    <hyperlink display="Talent Development" location="'Competencies 23-24'!C4" ref="C28"/>
    <hyperlink display="Talent Management" location="'Competencies 25-26'!C4" ref="C29"/>
    <hyperlink display="Values Diversity, Inclusion, and Belonging" location="'Competencies 25-26'!C4" ref="C30"/>
    <hyperlink display="Writing Skills and Writing Proficiency" location="'Competencies 27-28'!C4" ref="C31"/>
    <hyperlink display="Self-care, Well-being, Mindfulness" location="'Competencies 27-28'!C4" ref="C32"/>
    <hyperlink display="Leadership Skills" location="'Competency 29'!C4" ref="C33"/>
  </hyperlin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B9A5B"/>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1" width="6.38"/>
    <col customWidth="1" min="2" max="2" width="17.75"/>
    <col customWidth="1" min="3" max="3" width="5.63"/>
    <col customWidth="1" min="4" max="5" width="11.88"/>
    <col customWidth="1" min="6" max="6" width="31.88"/>
    <col customWidth="1" min="7" max="7" width="6.38"/>
    <col customWidth="1" min="8" max="8" width="11.88"/>
    <col customWidth="1" min="9" max="9" width="15.75"/>
    <col customWidth="1" min="10" max="10" width="0.5"/>
    <col customWidth="1" min="11" max="11" width="27.38"/>
    <col customWidth="1" min="12" max="12" width="0.63"/>
    <col customWidth="1" min="13" max="13" width="27.88"/>
    <col customWidth="1" hidden="1" min="14" max="14" width="15.75"/>
    <col customWidth="1" hidden="1" min="15" max="15" width="32.25"/>
    <col customWidth="1" hidden="1" min="16" max="16" width="28.38"/>
    <col customWidth="1" min="17" max="17" width="6.38"/>
  </cols>
  <sheetData>
    <row r="1" ht="45.0" customHeight="1" outlineLevel="1">
      <c r="A1" s="91"/>
      <c r="B1" s="92" t="s">
        <v>1982</v>
      </c>
      <c r="L1" s="93" t="s">
        <v>1947</v>
      </c>
      <c r="M1" s="73"/>
      <c r="Q1" s="94"/>
    </row>
    <row r="2" outlineLevel="1">
      <c r="A2" s="91"/>
      <c r="B2" s="95" t="s">
        <v>1983</v>
      </c>
      <c r="C2" s="96"/>
      <c r="D2" s="96"/>
      <c r="E2" s="96"/>
      <c r="F2" s="96"/>
      <c r="G2" s="97"/>
      <c r="H2" s="97"/>
      <c r="I2" s="98"/>
      <c r="L2" s="98"/>
      <c r="M2" s="98"/>
      <c r="N2" s="98"/>
      <c r="O2" s="98"/>
      <c r="P2" s="99"/>
      <c r="Q2" s="94"/>
    </row>
    <row r="3" outlineLevel="1">
      <c r="A3" s="91"/>
      <c r="B3" s="100" t="s">
        <v>1984</v>
      </c>
      <c r="F3" s="77"/>
      <c r="G3" s="101"/>
      <c r="H3" s="101" t="s">
        <v>1985</v>
      </c>
      <c r="N3" s="101" t="s">
        <v>1986</v>
      </c>
      <c r="Q3" s="94"/>
    </row>
    <row r="4" ht="7.5" customHeight="1" outlineLevel="1">
      <c r="A4" s="102"/>
      <c r="B4" s="103"/>
      <c r="C4" s="103"/>
      <c r="D4" s="103"/>
      <c r="E4" s="104"/>
      <c r="F4" s="105"/>
      <c r="G4" s="106"/>
      <c r="H4" s="107"/>
      <c r="I4" s="108"/>
      <c r="J4" s="108"/>
      <c r="K4" s="108"/>
      <c r="L4" s="108"/>
      <c r="M4" s="105"/>
      <c r="N4" s="106"/>
      <c r="O4" s="106"/>
      <c r="P4" s="106"/>
      <c r="Q4" s="103"/>
    </row>
    <row r="5" ht="93.75" customHeight="1">
      <c r="A5" s="109" t="s">
        <v>7</v>
      </c>
      <c r="B5" s="110"/>
      <c r="C5" s="111" t="s">
        <v>1987</v>
      </c>
      <c r="D5" s="112"/>
      <c r="E5" s="112"/>
      <c r="F5" s="113"/>
      <c r="G5" s="114"/>
      <c r="H5" s="115" t="s">
        <v>1988</v>
      </c>
      <c r="I5" s="112"/>
      <c r="J5" s="112"/>
      <c r="K5" s="112"/>
      <c r="L5" s="112"/>
      <c r="M5" s="113"/>
      <c r="N5" s="116" t="s">
        <v>1952</v>
      </c>
      <c r="O5" s="117"/>
      <c r="P5" s="118"/>
      <c r="Q5" s="94"/>
    </row>
    <row r="6" ht="93.75" customHeight="1">
      <c r="A6" s="109" t="s">
        <v>107</v>
      </c>
      <c r="B6" s="110"/>
      <c r="C6" s="119" t="s">
        <v>114</v>
      </c>
      <c r="D6" s="112"/>
      <c r="E6" s="112"/>
      <c r="F6" s="113"/>
      <c r="G6" s="120"/>
      <c r="H6" s="121" t="s">
        <v>1989</v>
      </c>
      <c r="I6" s="112"/>
      <c r="J6" s="112"/>
      <c r="K6" s="112"/>
      <c r="L6" s="112"/>
      <c r="M6" s="113"/>
      <c r="N6" s="122" t="s">
        <v>1953</v>
      </c>
      <c r="O6" s="123"/>
      <c r="P6" s="124"/>
      <c r="Q6" s="94"/>
    </row>
    <row r="7" ht="93.75" customHeight="1">
      <c r="A7" s="109"/>
      <c r="B7" s="110"/>
      <c r="C7" s="111" t="s">
        <v>1990</v>
      </c>
      <c r="D7" s="112"/>
      <c r="E7" s="112"/>
      <c r="F7" s="113"/>
      <c r="G7" s="110"/>
      <c r="H7" s="121" t="s">
        <v>1991</v>
      </c>
      <c r="I7" s="112"/>
      <c r="J7" s="112"/>
      <c r="K7" s="112"/>
      <c r="L7" s="112"/>
      <c r="M7" s="113"/>
      <c r="N7" s="125"/>
      <c r="O7" s="125"/>
      <c r="P7" s="125"/>
      <c r="Q7" s="94"/>
    </row>
    <row r="8" ht="93.75" customHeight="1">
      <c r="A8" s="109" t="s">
        <v>160</v>
      </c>
      <c r="B8" s="110"/>
      <c r="C8" s="119" t="s">
        <v>160</v>
      </c>
      <c r="D8" s="112"/>
      <c r="E8" s="112"/>
      <c r="F8" s="113"/>
      <c r="G8" s="114"/>
      <c r="H8" s="115" t="s">
        <v>1992</v>
      </c>
      <c r="I8" s="112"/>
      <c r="J8" s="112"/>
      <c r="K8" s="112"/>
      <c r="L8" s="112"/>
      <c r="M8" s="113"/>
      <c r="N8" s="122" t="s">
        <v>1955</v>
      </c>
      <c r="O8" s="123"/>
      <c r="P8" s="124"/>
      <c r="Q8" s="94"/>
    </row>
    <row r="9" ht="93.75" customHeight="1">
      <c r="A9" s="109" t="s">
        <v>229</v>
      </c>
      <c r="B9" s="110"/>
      <c r="C9" s="119" t="s">
        <v>229</v>
      </c>
      <c r="D9" s="112"/>
      <c r="E9" s="112"/>
      <c r="F9" s="113"/>
      <c r="G9" s="120"/>
      <c r="H9" s="121" t="s">
        <v>1993</v>
      </c>
      <c r="I9" s="112"/>
      <c r="J9" s="112"/>
      <c r="K9" s="112"/>
      <c r="L9" s="112"/>
      <c r="M9" s="113"/>
      <c r="N9" s="122" t="s">
        <v>1956</v>
      </c>
      <c r="O9" s="123"/>
      <c r="P9" s="124"/>
      <c r="Q9" s="94"/>
    </row>
    <row r="10" ht="93.75" customHeight="1">
      <c r="A10" s="109" t="s">
        <v>290</v>
      </c>
      <c r="B10" s="110"/>
      <c r="C10" s="119" t="s">
        <v>299</v>
      </c>
      <c r="D10" s="112"/>
      <c r="E10" s="112"/>
      <c r="F10" s="113"/>
      <c r="G10" s="114"/>
      <c r="H10" s="115" t="s">
        <v>1994</v>
      </c>
      <c r="I10" s="112"/>
      <c r="J10" s="112"/>
      <c r="K10" s="112"/>
      <c r="L10" s="112"/>
      <c r="M10" s="113"/>
      <c r="N10" s="122" t="s">
        <v>1957</v>
      </c>
      <c r="O10" s="123"/>
      <c r="P10" s="124"/>
      <c r="Q10" s="94"/>
    </row>
    <row r="11" ht="93.75" customHeight="1">
      <c r="A11" s="109" t="s">
        <v>397</v>
      </c>
      <c r="B11" s="110"/>
      <c r="C11" s="119" t="s">
        <v>296</v>
      </c>
      <c r="D11" s="112"/>
      <c r="E11" s="112"/>
      <c r="F11" s="113"/>
      <c r="G11" s="114"/>
      <c r="H11" s="115" t="s">
        <v>1995</v>
      </c>
      <c r="I11" s="112"/>
      <c r="J11" s="112"/>
      <c r="K11" s="112"/>
      <c r="L11" s="112"/>
      <c r="M11" s="113"/>
      <c r="N11" s="122" t="s">
        <v>1958</v>
      </c>
      <c r="O11" s="123"/>
      <c r="P11" s="124"/>
      <c r="Q11" s="94"/>
    </row>
    <row r="12" ht="93.75" customHeight="1">
      <c r="A12" s="109" t="s">
        <v>426</v>
      </c>
      <c r="B12" s="110"/>
      <c r="C12" s="111" t="s">
        <v>450</v>
      </c>
      <c r="D12" s="112"/>
      <c r="E12" s="112"/>
      <c r="F12" s="113"/>
      <c r="G12" s="114"/>
      <c r="H12" s="115" t="s">
        <v>1996</v>
      </c>
      <c r="I12" s="112"/>
      <c r="J12" s="112"/>
      <c r="K12" s="112"/>
      <c r="L12" s="112"/>
      <c r="M12" s="113"/>
      <c r="N12" s="122" t="s">
        <v>1959</v>
      </c>
      <c r="O12" s="123"/>
      <c r="P12" s="124"/>
      <c r="Q12" s="94"/>
    </row>
    <row r="13" ht="93.75" customHeight="1">
      <c r="A13" s="109" t="s">
        <v>582</v>
      </c>
      <c r="B13" s="110"/>
      <c r="C13" s="119" t="s">
        <v>585</v>
      </c>
      <c r="D13" s="112"/>
      <c r="E13" s="112"/>
      <c r="F13" s="113"/>
      <c r="G13" s="120"/>
      <c r="H13" s="121" t="s">
        <v>1997</v>
      </c>
      <c r="I13" s="112"/>
      <c r="J13" s="112"/>
      <c r="K13" s="112"/>
      <c r="L13" s="112"/>
      <c r="M13" s="113"/>
      <c r="N13" s="122" t="s">
        <v>1960</v>
      </c>
      <c r="O13" s="123"/>
      <c r="P13" s="124"/>
      <c r="Q13" s="94"/>
    </row>
    <row r="14" ht="93.75" customHeight="1">
      <c r="A14" s="109" t="s">
        <v>638</v>
      </c>
      <c r="B14" s="110"/>
      <c r="C14" s="119" t="s">
        <v>1998</v>
      </c>
      <c r="D14" s="112"/>
      <c r="E14" s="112"/>
      <c r="F14" s="113"/>
      <c r="G14" s="114"/>
      <c r="H14" s="115" t="s">
        <v>1999</v>
      </c>
      <c r="I14" s="112"/>
      <c r="J14" s="112"/>
      <c r="K14" s="112"/>
      <c r="L14" s="112"/>
      <c r="M14" s="113"/>
      <c r="N14" s="122" t="s">
        <v>1961</v>
      </c>
      <c r="O14" s="123"/>
      <c r="P14" s="124"/>
      <c r="Q14" s="94"/>
    </row>
    <row r="15" ht="93.75" customHeight="1">
      <c r="A15" s="109" t="s">
        <v>674</v>
      </c>
      <c r="B15" s="110"/>
      <c r="C15" s="119" t="s">
        <v>1593</v>
      </c>
      <c r="D15" s="112"/>
      <c r="E15" s="112"/>
      <c r="F15" s="113"/>
      <c r="G15" s="114"/>
      <c r="H15" s="115" t="s">
        <v>2000</v>
      </c>
      <c r="I15" s="112"/>
      <c r="J15" s="112"/>
      <c r="K15" s="112"/>
      <c r="L15" s="112"/>
      <c r="M15" s="113"/>
      <c r="N15" s="122" t="s">
        <v>1962</v>
      </c>
      <c r="O15" s="123"/>
      <c r="P15" s="124"/>
      <c r="Q15" s="94"/>
    </row>
    <row r="16" ht="93.75" customHeight="1">
      <c r="A16" s="109" t="s">
        <v>733</v>
      </c>
      <c r="B16" s="110"/>
      <c r="C16" s="119" t="s">
        <v>2001</v>
      </c>
      <c r="D16" s="112"/>
      <c r="E16" s="112"/>
      <c r="F16" s="113"/>
      <c r="G16" s="120"/>
      <c r="H16" s="121" t="s">
        <v>2002</v>
      </c>
      <c r="I16" s="112"/>
      <c r="J16" s="112"/>
      <c r="K16" s="112"/>
      <c r="L16" s="112"/>
      <c r="M16" s="113"/>
      <c r="N16" s="122" t="s">
        <v>1963</v>
      </c>
      <c r="O16" s="123"/>
      <c r="P16" s="124"/>
      <c r="Q16" s="94"/>
    </row>
    <row r="17" ht="93.75" customHeight="1">
      <c r="A17" s="109" t="s">
        <v>834</v>
      </c>
      <c r="B17" s="110"/>
      <c r="C17" s="119" t="s">
        <v>851</v>
      </c>
      <c r="D17" s="112"/>
      <c r="E17" s="112"/>
      <c r="F17" s="113"/>
      <c r="G17" s="120"/>
      <c r="H17" s="121" t="s">
        <v>2003</v>
      </c>
      <c r="I17" s="112"/>
      <c r="J17" s="112"/>
      <c r="K17" s="112"/>
      <c r="L17" s="112"/>
      <c r="M17" s="113"/>
      <c r="N17" s="122" t="s">
        <v>1964</v>
      </c>
      <c r="O17" s="123"/>
      <c r="P17" s="124"/>
      <c r="Q17" s="94"/>
    </row>
    <row r="18" ht="93.75" customHeight="1">
      <c r="A18" s="109" t="s">
        <v>889</v>
      </c>
      <c r="B18" s="110"/>
      <c r="C18" s="111" t="s">
        <v>2004</v>
      </c>
      <c r="D18" s="112"/>
      <c r="E18" s="112"/>
      <c r="F18" s="113"/>
      <c r="G18" s="114"/>
      <c r="H18" s="115" t="s">
        <v>2005</v>
      </c>
      <c r="I18" s="112"/>
      <c r="J18" s="112"/>
      <c r="K18" s="112"/>
      <c r="L18" s="112"/>
      <c r="M18" s="113"/>
      <c r="N18" s="122" t="s">
        <v>1965</v>
      </c>
      <c r="O18" s="123"/>
      <c r="P18" s="124"/>
      <c r="Q18" s="94"/>
    </row>
    <row r="19" ht="93.75" customHeight="1">
      <c r="A19" s="109" t="s">
        <v>993</v>
      </c>
      <c r="B19" s="110"/>
      <c r="C19" s="111" t="s">
        <v>1004</v>
      </c>
      <c r="D19" s="112"/>
      <c r="E19" s="112"/>
      <c r="F19" s="113"/>
      <c r="G19" s="114"/>
      <c r="H19" s="115" t="s">
        <v>2006</v>
      </c>
      <c r="I19" s="112"/>
      <c r="J19" s="112"/>
      <c r="K19" s="112"/>
      <c r="L19" s="112"/>
      <c r="M19" s="113"/>
      <c r="N19" s="122" t="s">
        <v>1966</v>
      </c>
      <c r="O19" s="123"/>
      <c r="P19" s="124"/>
      <c r="Q19" s="94"/>
    </row>
    <row r="20" ht="93.75" customHeight="1">
      <c r="A20" s="109" t="s">
        <v>1068</v>
      </c>
      <c r="B20" s="110"/>
      <c r="C20" s="111" t="s">
        <v>2007</v>
      </c>
      <c r="D20" s="112"/>
      <c r="E20" s="112"/>
      <c r="F20" s="113"/>
      <c r="G20" s="114"/>
      <c r="H20" s="115" t="s">
        <v>2008</v>
      </c>
      <c r="I20" s="112"/>
      <c r="J20" s="112"/>
      <c r="K20" s="112"/>
      <c r="L20" s="112"/>
      <c r="M20" s="113"/>
      <c r="N20" s="122" t="s">
        <v>1967</v>
      </c>
      <c r="O20" s="123"/>
      <c r="P20" s="124"/>
      <c r="Q20" s="94"/>
    </row>
    <row r="21" ht="93.75" customHeight="1">
      <c r="A21" s="109" t="s">
        <v>1227</v>
      </c>
      <c r="B21" s="110"/>
      <c r="C21" s="111" t="s">
        <v>1233</v>
      </c>
      <c r="D21" s="112"/>
      <c r="E21" s="112"/>
      <c r="F21" s="113"/>
      <c r="G21" s="120"/>
      <c r="H21" s="121" t="s">
        <v>2009</v>
      </c>
      <c r="I21" s="112"/>
      <c r="J21" s="112"/>
      <c r="K21" s="112"/>
      <c r="L21" s="112"/>
      <c r="M21" s="113"/>
      <c r="N21" s="122" t="s">
        <v>1968</v>
      </c>
      <c r="O21" s="123"/>
      <c r="P21" s="124"/>
      <c r="Q21" s="94"/>
    </row>
    <row r="22" ht="93.75" customHeight="1">
      <c r="A22" s="109" t="s">
        <v>1273</v>
      </c>
      <c r="B22" s="110"/>
      <c r="C22" s="119" t="s">
        <v>1279</v>
      </c>
      <c r="D22" s="112"/>
      <c r="E22" s="112"/>
      <c r="F22" s="113"/>
      <c r="G22" s="114"/>
      <c r="H22" s="115" t="s">
        <v>2010</v>
      </c>
      <c r="I22" s="112"/>
      <c r="J22" s="112"/>
      <c r="K22" s="112"/>
      <c r="L22" s="112"/>
      <c r="M22" s="113"/>
      <c r="N22" s="122" t="s">
        <v>1969</v>
      </c>
      <c r="O22" s="123"/>
      <c r="P22" s="124"/>
      <c r="Q22" s="94"/>
    </row>
    <row r="23" ht="93.75" customHeight="1">
      <c r="A23" s="109" t="s">
        <v>1344</v>
      </c>
      <c r="B23" s="110"/>
      <c r="C23" s="119" t="s">
        <v>1344</v>
      </c>
      <c r="D23" s="112"/>
      <c r="E23" s="112"/>
      <c r="F23" s="113"/>
      <c r="G23" s="114"/>
      <c r="H23" s="115" t="s">
        <v>2011</v>
      </c>
      <c r="I23" s="112"/>
      <c r="J23" s="112"/>
      <c r="K23" s="112"/>
      <c r="L23" s="112"/>
      <c r="M23" s="113"/>
      <c r="N23" s="122" t="s">
        <v>2012</v>
      </c>
      <c r="O23" s="123"/>
      <c r="P23" s="124"/>
      <c r="Q23" s="94"/>
    </row>
    <row r="24" ht="93.75" customHeight="1">
      <c r="A24" s="109" t="s">
        <v>1384</v>
      </c>
      <c r="B24" s="110"/>
      <c r="C24" s="111" t="s">
        <v>2013</v>
      </c>
      <c r="D24" s="112"/>
      <c r="E24" s="112"/>
      <c r="F24" s="113"/>
      <c r="G24" s="114"/>
      <c r="H24" s="115" t="s">
        <v>2014</v>
      </c>
      <c r="I24" s="112"/>
      <c r="J24" s="112"/>
      <c r="K24" s="112"/>
      <c r="L24" s="112"/>
      <c r="M24" s="113"/>
      <c r="N24" s="122" t="s">
        <v>1971</v>
      </c>
      <c r="O24" s="123"/>
      <c r="P24" s="124"/>
      <c r="Q24" s="94"/>
    </row>
    <row r="25" ht="93.75" customHeight="1">
      <c r="A25" s="109" t="s">
        <v>1448</v>
      </c>
      <c r="B25" s="110"/>
      <c r="C25" s="119" t="s">
        <v>1451</v>
      </c>
      <c r="D25" s="112"/>
      <c r="E25" s="112"/>
      <c r="F25" s="113"/>
      <c r="G25" s="120"/>
      <c r="H25" s="121" t="s">
        <v>2015</v>
      </c>
      <c r="I25" s="112"/>
      <c r="J25" s="112"/>
      <c r="K25" s="112"/>
      <c r="L25" s="112"/>
      <c r="M25" s="113"/>
      <c r="N25" s="122" t="s">
        <v>1972</v>
      </c>
      <c r="O25" s="123"/>
      <c r="P25" s="124"/>
      <c r="Q25" s="94"/>
    </row>
    <row r="26" ht="93.75" customHeight="1">
      <c r="A26" s="109" t="s">
        <v>1486</v>
      </c>
      <c r="B26" s="110"/>
      <c r="C26" s="119" t="s">
        <v>2016</v>
      </c>
      <c r="D26" s="112"/>
      <c r="E26" s="112"/>
      <c r="F26" s="113"/>
      <c r="G26" s="114"/>
      <c r="H26" s="115" t="s">
        <v>2017</v>
      </c>
      <c r="I26" s="112"/>
      <c r="J26" s="112"/>
      <c r="K26" s="112"/>
      <c r="L26" s="112"/>
      <c r="M26" s="113"/>
      <c r="N26" s="122" t="s">
        <v>1973</v>
      </c>
      <c r="O26" s="123"/>
      <c r="P26" s="124"/>
      <c r="Q26" s="94"/>
    </row>
    <row r="27" ht="93.75" customHeight="1">
      <c r="A27" s="126" t="s">
        <v>1582</v>
      </c>
      <c r="B27" s="110"/>
      <c r="C27" s="119" t="s">
        <v>2018</v>
      </c>
      <c r="D27" s="112"/>
      <c r="E27" s="112"/>
      <c r="F27" s="113"/>
      <c r="G27" s="114"/>
      <c r="H27" s="115" t="s">
        <v>2019</v>
      </c>
      <c r="I27" s="112"/>
      <c r="J27" s="112"/>
      <c r="K27" s="112"/>
      <c r="L27" s="112"/>
      <c r="M27" s="113"/>
      <c r="N27" s="122" t="s">
        <v>1974</v>
      </c>
      <c r="O27" s="123"/>
      <c r="P27" s="124"/>
      <c r="Q27" s="94"/>
    </row>
    <row r="28" ht="93.75" customHeight="1">
      <c r="A28" s="127" t="s">
        <v>1671</v>
      </c>
      <c r="B28" s="110"/>
      <c r="C28" s="119" t="s">
        <v>2020</v>
      </c>
      <c r="D28" s="112"/>
      <c r="E28" s="112"/>
      <c r="F28" s="113"/>
      <c r="G28" s="120"/>
      <c r="H28" s="121" t="s">
        <v>2021</v>
      </c>
      <c r="I28" s="112"/>
      <c r="J28" s="112"/>
      <c r="K28" s="112"/>
      <c r="L28" s="112"/>
      <c r="M28" s="113"/>
      <c r="N28" s="122" t="s">
        <v>1975</v>
      </c>
      <c r="O28" s="123"/>
      <c r="P28" s="124"/>
      <c r="Q28" s="94"/>
    </row>
    <row r="29" ht="93.75" customHeight="1">
      <c r="A29" s="109" t="s">
        <v>1712</v>
      </c>
      <c r="B29" s="110"/>
      <c r="C29" s="111" t="s">
        <v>2022</v>
      </c>
      <c r="D29" s="112"/>
      <c r="E29" s="112"/>
      <c r="F29" s="113"/>
      <c r="G29" s="114"/>
      <c r="H29" s="115" t="s">
        <v>2023</v>
      </c>
      <c r="I29" s="112"/>
      <c r="J29" s="112"/>
      <c r="K29" s="112"/>
      <c r="L29" s="112"/>
      <c r="M29" s="113"/>
      <c r="N29" s="122" t="s">
        <v>1976</v>
      </c>
      <c r="O29" s="123"/>
      <c r="P29" s="124"/>
      <c r="Q29" s="94"/>
    </row>
    <row r="30" ht="93.75" customHeight="1">
      <c r="A30" s="109" t="s">
        <v>1348</v>
      </c>
      <c r="B30" s="110"/>
      <c r="C30" s="111" t="s">
        <v>2024</v>
      </c>
      <c r="D30" s="112"/>
      <c r="E30" s="112"/>
      <c r="F30" s="113"/>
      <c r="G30" s="114"/>
      <c r="H30" s="115" t="s">
        <v>2025</v>
      </c>
      <c r="I30" s="112"/>
      <c r="J30" s="112"/>
      <c r="K30" s="112"/>
      <c r="L30" s="112"/>
      <c r="M30" s="113"/>
      <c r="N30" s="122" t="s">
        <v>2026</v>
      </c>
      <c r="O30" s="123"/>
      <c r="P30" s="124"/>
      <c r="Q30" s="94"/>
    </row>
    <row r="31" ht="93.75" customHeight="1">
      <c r="A31" s="126" t="s">
        <v>1747</v>
      </c>
      <c r="B31" s="110"/>
      <c r="C31" s="111" t="s">
        <v>2027</v>
      </c>
      <c r="D31" s="112"/>
      <c r="E31" s="112"/>
      <c r="F31" s="113"/>
      <c r="G31" s="114"/>
      <c r="H31" s="115" t="s">
        <v>2028</v>
      </c>
      <c r="I31" s="112"/>
      <c r="J31" s="112"/>
      <c r="K31" s="112"/>
      <c r="L31" s="112"/>
      <c r="M31" s="113"/>
      <c r="N31" s="122" t="s">
        <v>1978</v>
      </c>
      <c r="O31" s="123"/>
      <c r="P31" s="124"/>
      <c r="Q31" s="94"/>
    </row>
    <row r="32" ht="93.75" customHeight="1">
      <c r="A32" s="109" t="s">
        <v>1808</v>
      </c>
      <c r="B32" s="110"/>
      <c r="C32" s="119" t="s">
        <v>2029</v>
      </c>
      <c r="D32" s="112"/>
      <c r="E32" s="112"/>
      <c r="F32" s="113"/>
      <c r="G32" s="120"/>
      <c r="H32" s="121" t="s">
        <v>2030</v>
      </c>
      <c r="I32" s="112"/>
      <c r="J32" s="112"/>
      <c r="K32" s="112"/>
      <c r="L32" s="112"/>
      <c r="M32" s="113"/>
      <c r="N32" s="122" t="s">
        <v>1979</v>
      </c>
      <c r="O32" s="123"/>
      <c r="P32" s="124"/>
      <c r="Q32" s="94"/>
    </row>
    <row r="33" ht="93.75" customHeight="1">
      <c r="A33" s="109" t="s">
        <v>1834</v>
      </c>
      <c r="B33" s="128"/>
      <c r="C33" s="111" t="s">
        <v>1837</v>
      </c>
      <c r="D33" s="112"/>
      <c r="E33" s="112"/>
      <c r="F33" s="113"/>
      <c r="G33" s="120"/>
      <c r="H33" s="121" t="s">
        <v>2031</v>
      </c>
      <c r="I33" s="112"/>
      <c r="J33" s="112"/>
      <c r="K33" s="112"/>
      <c r="L33" s="112"/>
      <c r="M33" s="113"/>
      <c r="N33" s="122" t="s">
        <v>2032</v>
      </c>
      <c r="O33" s="123"/>
      <c r="P33" s="124"/>
      <c r="Q33" s="94"/>
    </row>
    <row r="34" ht="93.75" customHeight="1">
      <c r="A34" s="129" t="s">
        <v>1923</v>
      </c>
      <c r="B34" s="110"/>
      <c r="C34" s="111" t="s">
        <v>1277</v>
      </c>
      <c r="D34" s="112"/>
      <c r="E34" s="112"/>
      <c r="F34" s="113"/>
      <c r="G34" s="120"/>
      <c r="H34" s="121" t="s">
        <v>2033</v>
      </c>
      <c r="I34" s="112"/>
      <c r="J34" s="112"/>
      <c r="K34" s="112"/>
      <c r="L34" s="112"/>
      <c r="M34" s="113"/>
      <c r="N34" s="122" t="s">
        <v>2034</v>
      </c>
      <c r="O34" s="123"/>
      <c r="P34" s="124"/>
      <c r="Q34" s="94"/>
    </row>
  </sheetData>
  <mergeCells count="98">
    <mergeCell ref="H18:M18"/>
    <mergeCell ref="H19:M19"/>
    <mergeCell ref="N19:P19"/>
    <mergeCell ref="H15:M15"/>
    <mergeCell ref="N15:P15"/>
    <mergeCell ref="H16:M16"/>
    <mergeCell ref="N16:P16"/>
    <mergeCell ref="H17:M17"/>
    <mergeCell ref="N17:P17"/>
    <mergeCell ref="N18:P18"/>
    <mergeCell ref="C14:F14"/>
    <mergeCell ref="C15:F15"/>
    <mergeCell ref="C16:F16"/>
    <mergeCell ref="C17:F17"/>
    <mergeCell ref="C18:F18"/>
    <mergeCell ref="C19:F19"/>
    <mergeCell ref="C20:F20"/>
    <mergeCell ref="C28:F28"/>
    <mergeCell ref="C29:F29"/>
    <mergeCell ref="C30:F30"/>
    <mergeCell ref="C31:F31"/>
    <mergeCell ref="C32:F32"/>
    <mergeCell ref="C33:F33"/>
    <mergeCell ref="C34:F34"/>
    <mergeCell ref="C21:F21"/>
    <mergeCell ref="C22:F22"/>
    <mergeCell ref="C23:F23"/>
    <mergeCell ref="C24:F24"/>
    <mergeCell ref="C25:F25"/>
    <mergeCell ref="C26:F26"/>
    <mergeCell ref="C27:F27"/>
    <mergeCell ref="H20:M20"/>
    <mergeCell ref="N20:P20"/>
    <mergeCell ref="H21:M21"/>
    <mergeCell ref="N21:P21"/>
    <mergeCell ref="H22:M22"/>
    <mergeCell ref="N22:P22"/>
    <mergeCell ref="N23:P23"/>
    <mergeCell ref="H23:M23"/>
    <mergeCell ref="H24:M24"/>
    <mergeCell ref="N24:P24"/>
    <mergeCell ref="H25:M25"/>
    <mergeCell ref="N25:P25"/>
    <mergeCell ref="H26:M26"/>
    <mergeCell ref="N26:P26"/>
    <mergeCell ref="H27:M27"/>
    <mergeCell ref="N27:P27"/>
    <mergeCell ref="H28:M28"/>
    <mergeCell ref="N28:P28"/>
    <mergeCell ref="H29:M29"/>
    <mergeCell ref="N29:P29"/>
    <mergeCell ref="N30:P30"/>
    <mergeCell ref="H30:M30"/>
    <mergeCell ref="H31:M31"/>
    <mergeCell ref="N31:P31"/>
    <mergeCell ref="H32:M32"/>
    <mergeCell ref="N32:P32"/>
    <mergeCell ref="H33:M33"/>
    <mergeCell ref="N33:P33"/>
    <mergeCell ref="H3:M3"/>
    <mergeCell ref="H4:M4"/>
    <mergeCell ref="B1:K1"/>
    <mergeCell ref="L1:M1"/>
    <mergeCell ref="B2:F2"/>
    <mergeCell ref="I2:K2"/>
    <mergeCell ref="B3:F3"/>
    <mergeCell ref="N3:P3"/>
    <mergeCell ref="E4:F4"/>
    <mergeCell ref="C5:F5"/>
    <mergeCell ref="H5:M5"/>
    <mergeCell ref="N5:P5"/>
    <mergeCell ref="C6:F6"/>
    <mergeCell ref="H6:M6"/>
    <mergeCell ref="N6:P6"/>
    <mergeCell ref="H7:M7"/>
    <mergeCell ref="H8:M8"/>
    <mergeCell ref="N8:P8"/>
    <mergeCell ref="H9:M9"/>
    <mergeCell ref="N9:P9"/>
    <mergeCell ref="H10:M10"/>
    <mergeCell ref="N10:P10"/>
    <mergeCell ref="N11:P11"/>
    <mergeCell ref="C7:F7"/>
    <mergeCell ref="C8:F8"/>
    <mergeCell ref="C9:F9"/>
    <mergeCell ref="C10:F10"/>
    <mergeCell ref="C11:F11"/>
    <mergeCell ref="C12:F12"/>
    <mergeCell ref="C13:F13"/>
    <mergeCell ref="H11:M11"/>
    <mergeCell ref="H12:M12"/>
    <mergeCell ref="N12:P12"/>
    <mergeCell ref="H13:M13"/>
    <mergeCell ref="N13:P13"/>
    <mergeCell ref="H14:M14"/>
    <mergeCell ref="N14:P14"/>
    <mergeCell ref="H34:M34"/>
    <mergeCell ref="N34:P34"/>
  </mergeCells>
  <hyperlinks>
    <hyperlink r:id="rId1" ref="C5"/>
    <hyperlink r:id="rId2" ref="C6"/>
    <hyperlink r:id="rId3" ref="C7"/>
    <hyperlink r:id="rId4" ref="C8"/>
    <hyperlink r:id="rId5" ref="C9"/>
    <hyperlink r:id="rId6" ref="C10"/>
    <hyperlink r:id="rId7" ref="C11"/>
    <hyperlink r:id="rId8" ref="C12"/>
    <hyperlink r:id="rId9" ref="C13"/>
    <hyperlink r:id="rId10" ref="C14"/>
    <hyperlink r:id="rId11" ref="C15"/>
    <hyperlink r:id="rId12" ref="C16"/>
    <hyperlink r:id="rId13" ref="C17"/>
    <hyperlink r:id="rId14" ref="C18"/>
    <hyperlink r:id="rId15" ref="C19"/>
    <hyperlink r:id="rId16" ref="C20"/>
    <hyperlink r:id="rId17" ref="C21"/>
    <hyperlink r:id="rId18" ref="C22"/>
    <hyperlink r:id="rId19" ref="C23"/>
    <hyperlink r:id="rId20" ref="C24"/>
    <hyperlink r:id="rId21" ref="C25"/>
    <hyperlink r:id="rId22" ref="C26"/>
    <hyperlink r:id="rId23" ref="C27"/>
    <hyperlink r:id="rId24" ref="C28"/>
    <hyperlink r:id="rId25" ref="C29"/>
    <hyperlink r:id="rId26" ref="C30"/>
    <hyperlink r:id="rId27" ref="C31"/>
    <hyperlink r:id="rId28" ref="C32"/>
    <hyperlink r:id="rId29" ref="C33"/>
    <hyperlink r:id="rId30" ref="C34"/>
  </hyperlinks>
  <drawing r:id="rId3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18.88"/>
    <col customWidth="1" min="6" max="6" width="22.38"/>
    <col customWidth="1" min="7" max="7" width="13.0"/>
    <col customWidth="1" min="8" max="8" width="43.88"/>
    <col customWidth="1" min="9" max="11" width="0.63"/>
    <col customWidth="1" min="12" max="12" width="11.88"/>
    <col customWidth="1" min="13" max="13" width="48.0"/>
    <col customWidth="1" min="14" max="14" width="20.13"/>
    <col customWidth="1" min="15" max="15" width="22.38"/>
    <col customWidth="1" min="16" max="16" width="10.75"/>
    <col customWidth="1" min="17" max="17" width="43.88"/>
    <col customWidth="1" min="18" max="19" width="0.63"/>
  </cols>
  <sheetData>
    <row r="1" ht="27.75" customHeight="1" outlineLevel="1">
      <c r="A1" s="130"/>
      <c r="B1" s="130"/>
      <c r="C1" s="131" t="s">
        <v>7</v>
      </c>
      <c r="I1" s="130"/>
      <c r="J1" s="130"/>
      <c r="K1" s="130"/>
      <c r="L1" s="131" t="s">
        <v>107</v>
      </c>
      <c r="R1" s="130"/>
      <c r="S1" s="130"/>
    </row>
    <row r="2" outlineLevel="1">
      <c r="A2" s="132"/>
      <c r="B2" s="132"/>
      <c r="C2" s="133" t="s">
        <v>1986</v>
      </c>
      <c r="I2" s="132"/>
      <c r="J2" s="132"/>
      <c r="K2" s="132"/>
      <c r="L2" s="133" t="s">
        <v>1986</v>
      </c>
      <c r="R2" s="132"/>
      <c r="S2" s="132"/>
    </row>
    <row r="3" outlineLevel="1">
      <c r="A3" s="134"/>
      <c r="B3" s="134"/>
      <c r="C3" s="135" t="str">
        <f>IFERROR(__xludf.DUMMYFUNCTION("IFERROR(UNIQUE(FILTER('Competency Learning Paths'!N:N,'Competency Learning Paths'!A:A= C1)))"),"Drive for Results, Action Oriented, Personal Accountability, Initiating Action, Initiative, Personal Initiative, Time Management, Perseverance, Drives Results, Being Resilient, Work Standards, Passion for Results")</f>
        <v>Drive for Results, Action Oriented, Personal Accountability, Initiating Action, Initiative, Personal Initiative, Time Management, Perseverance, Drives Results, Being Resilient, Work Standards, Passion for Results</v>
      </c>
      <c r="I3" s="134"/>
      <c r="J3" s="134"/>
      <c r="K3" s="134"/>
      <c r="L3" s="135" t="str">
        <f>IFERROR(__xludf.DUMMYFUNCTION("IFERROR(UNIQUE(FILTER('Competency Learning Paths'!N:N,'Competency Learning Paths'!A:A= L1)))"),"Flexibility, Manages Ambiguity, Dealing With Paradox, Situational Adaptability, Dealing with Ambiguity, Active Learning, Learning Agility, Applied Learning, Nimble Learning, Learning on the Fly, Continuous Learning, Continuous Improvement")</f>
        <v>Flexibility, Manages Ambiguity, Dealing With Paradox, Situational Adaptability, Dealing with Ambiguity, Active Learning, Learning Agility, Applied Learning, Nimble Learning, Learning on the Fly, Continuous Learning, Continuous Improvement</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IFERROR(__xludf.DUMMYFUNCTION("""COMPUTED_VALUE"""),5015886.0)</f>
        <v>5015886</v>
      </c>
      <c r="D5" s="142" t="str">
        <f>IFERROR(__xludf.DUMMYFUNCTION("""COMPUTED_VALUE"""),"Good to Great: Why Some Companies Make the Leap and Others Don't (Blinkist Summary)")</f>
        <v>Good to Great: Why Some Companies Make the Leap and Others Don't (Blinkist Summary)</v>
      </c>
      <c r="E5" s="141" t="str">
        <f>IFERROR(__xludf.DUMMYFUNCTION("""COMPUTED_VALUE"""),"C-Suite")</f>
        <v>C-Suite</v>
      </c>
      <c r="F5" s="141" t="str">
        <f>IFERROR(__xludf.DUMMYFUNCTION("""COMPUTED_VALUE"""),"Intermediate")</f>
        <v>Intermediate</v>
      </c>
      <c r="G5" s="143">
        <f>IFERROR(__xludf.DUMMYFUNCTION("""COMPUTED_VALUE"""),0.010231481481481482)</f>
        <v>0.01023148148</v>
      </c>
      <c r="H5" s="144" t="str">
        <f>IFERROR(__xludf.DUMMYFUNCTION("""COMPUTED_VALUE"""),"Building Accountability and Becoming Results Oriented ")</f>
        <v>Building Accountability and Becoming Results Oriented </v>
      </c>
      <c r="I5" s="140"/>
      <c r="J5" s="140"/>
      <c r="K5" s="140"/>
      <c r="L5" s="141">
        <f>IFERROR(__xludf.DUMMYFUNCTION("""COMPUTED_VALUE"""),689761.0)</f>
        <v>689761</v>
      </c>
      <c r="M5" s="145" t="str">
        <f>IFERROR(__xludf.DUMMYFUNCTION("""COMPUTED_VALUE"""),"Creating a Culture of Change")</f>
        <v>Creating a Culture of Change</v>
      </c>
      <c r="N5" s="141" t="str">
        <f>IFERROR(__xludf.DUMMYFUNCTION("""COMPUTED_VALUE"""),"C-Suite")</f>
        <v>C-Suite</v>
      </c>
      <c r="O5" s="141" t="str">
        <f>IFERROR(__xludf.DUMMYFUNCTION("""COMPUTED_VALUE"""),"Advanced")</f>
        <v>Advanced</v>
      </c>
      <c r="P5" s="146">
        <f>IFERROR(__xludf.DUMMYFUNCTION("""COMPUTED_VALUE"""),0.03929398148148148)</f>
        <v>0.03929398148</v>
      </c>
      <c r="Q5" s="144" t="str">
        <f>IFERROR(__xludf.DUMMYFUNCTION("""COMPUTED_VALUE"""),"Developing Resilience and Grit")</f>
        <v>Developing Resilience and Grit</v>
      </c>
      <c r="R5" s="140"/>
      <c r="S5" s="140"/>
    </row>
    <row r="6" ht="33.75" customHeight="1">
      <c r="A6" s="140"/>
      <c r="B6" s="140"/>
      <c r="C6" s="147">
        <f>IFERROR(__xludf.DUMMYFUNCTION("""COMPUTED_VALUE"""),5034165.0)</f>
        <v>5034165</v>
      </c>
      <c r="D6" s="148" t="str">
        <f>IFERROR(__xludf.DUMMYFUNCTION("""COMPUTED_VALUE"""),"Prioritizing Effectively as a Leader")</f>
        <v>Prioritizing Effectively as a Leader</v>
      </c>
      <c r="E6" s="147" t="str">
        <f>IFERROR(__xludf.DUMMYFUNCTION("""COMPUTED_VALUE"""),"Senior Manager")</f>
        <v>Senior Manager</v>
      </c>
      <c r="F6" s="141" t="str">
        <f>IFERROR(__xludf.DUMMYFUNCTION("""COMPUTED_VALUE"""),"Beginner + Intermediate")</f>
        <v>Beginner + Intermediate</v>
      </c>
      <c r="G6" s="143">
        <f>IFERROR(__xludf.DUMMYFUNCTION("""COMPUTED_VALUE"""),0.02519675925925926)</f>
        <v>0.02519675926</v>
      </c>
      <c r="H6" s="149" t="str">
        <f>IFERROR(__xludf.DUMMYFUNCTION("""COMPUTED_VALUE"""),"Become a High Performer")</f>
        <v>Become a High Performer</v>
      </c>
      <c r="I6" s="140"/>
      <c r="J6" s="140"/>
      <c r="K6" s="140"/>
      <c r="L6" s="147">
        <f>IFERROR(__xludf.DUMMYFUNCTION("""COMPUTED_VALUE"""),580628.0)</f>
        <v>580628</v>
      </c>
      <c r="M6" s="150" t="str">
        <f>IFERROR(__xludf.DUMMYFUNCTION("""COMPUTED_VALUE"""),"The New Rules of Work")</f>
        <v>The New Rules of Work</v>
      </c>
      <c r="N6" s="147" t="str">
        <f>IFERROR(__xludf.DUMMYFUNCTION("""COMPUTED_VALUE"""),"C-Suite")</f>
        <v>C-Suite</v>
      </c>
      <c r="O6" s="141" t="str">
        <f>IFERROR(__xludf.DUMMYFUNCTION("""COMPUTED_VALUE"""),"Beginner")</f>
        <v>Beginner</v>
      </c>
      <c r="P6" s="146">
        <f>IFERROR(__xludf.DUMMYFUNCTION("""COMPUTED_VALUE"""),0.03782407407407407)</f>
        <v>0.03782407407</v>
      </c>
      <c r="Q6" s="149" t="str">
        <f>IFERROR(__xludf.DUMMYFUNCTION("""COMPUTED_VALUE"""),"Leading during Times of Change")</f>
        <v>Leading during Times of Change</v>
      </c>
      <c r="R6" s="140"/>
      <c r="S6" s="140"/>
    </row>
    <row r="7" ht="33.75" customHeight="1">
      <c r="A7" s="140"/>
      <c r="B7" s="140"/>
      <c r="C7" s="147">
        <f>IFERROR(__xludf.DUMMYFUNCTION("""COMPUTED_VALUE"""),2819025.0)</f>
        <v>2819025</v>
      </c>
      <c r="D7" s="148" t="str">
        <f>IFERROR(__xludf.DUMMYFUNCTION("""COMPUTED_VALUE"""),"Communicating to Drive People to Take Action")</f>
        <v>Communicating to Drive People to Take Action</v>
      </c>
      <c r="E7" s="147" t="str">
        <f>IFERROR(__xludf.DUMMYFUNCTION("""COMPUTED_VALUE"""),"Senior Manager")</f>
        <v>Senior Manager</v>
      </c>
      <c r="F7" s="141" t="str">
        <f>IFERROR(__xludf.DUMMYFUNCTION("""COMPUTED_VALUE"""),"Beginner + Intermediate")</f>
        <v>Beginner + Intermediate</v>
      </c>
      <c r="G7" s="143">
        <f>IFERROR(__xludf.DUMMYFUNCTION("""COMPUTED_VALUE"""),0.024826388888888887)</f>
        <v>0.02482638889</v>
      </c>
      <c r="H7" s="149" t="str">
        <f>IFERROR(__xludf.DUMMYFUNCTION("""COMPUTED_VALUE"""),"Become a Successful Remote Worker")</f>
        <v>Become a Successful Remote Worker</v>
      </c>
      <c r="I7" s="140"/>
      <c r="J7" s="140"/>
      <c r="K7" s="140"/>
      <c r="L7" s="147">
        <f>IFERROR(__xludf.DUMMYFUNCTION("""COMPUTED_VALUE"""),2815157.0)</f>
        <v>2815157</v>
      </c>
      <c r="M7" s="150" t="str">
        <f>IFERROR(__xludf.DUMMYFUNCTION("""COMPUTED_VALUE"""),"Agile Software Development: Creating an Agile Culture")</f>
        <v>Agile Software Development: Creating an Agile Culture</v>
      </c>
      <c r="N7" s="147" t="str">
        <f>IFERROR(__xludf.DUMMYFUNCTION("""COMPUTED_VALUE"""),"C-Suite")</f>
        <v>C-Suite</v>
      </c>
      <c r="O7" s="141" t="str">
        <f>IFERROR(__xludf.DUMMYFUNCTION("""COMPUTED_VALUE"""),"Beginner")</f>
        <v>Beginner</v>
      </c>
      <c r="P7" s="146">
        <f>IFERROR(__xludf.DUMMYFUNCTION("""COMPUTED_VALUE"""),0.060162037037037035)</f>
        <v>0.06016203704</v>
      </c>
      <c r="Q7" s="149" t="str">
        <f>IFERROR(__xludf.DUMMYFUNCTION("""COMPUTED_VALUE"""),"Manage Change and Develop Your Adaptability Skills")</f>
        <v>Manage Change and Develop Your Adaptability Skills</v>
      </c>
      <c r="R7" s="140"/>
      <c r="S7" s="140"/>
    </row>
    <row r="8" ht="33.75" customHeight="1">
      <c r="A8" s="140"/>
      <c r="B8" s="140"/>
      <c r="C8" s="147">
        <f>IFERROR(__xludf.DUMMYFUNCTION("""COMPUTED_VALUE"""),2825161.0)</f>
        <v>2825161</v>
      </c>
      <c r="D8" s="148" t="str">
        <f>IFERROR(__xludf.DUMMYFUNCTION("""COMPUTED_VALUE"""),"Goal Setting: Objectives and Key Results (OKRs)")</f>
        <v>Goal Setting: Objectives and Key Results (OKRs)</v>
      </c>
      <c r="E8" s="147" t="str">
        <f>IFERROR(__xludf.DUMMYFUNCTION("""COMPUTED_VALUE"""),"Senior Manager")</f>
        <v>Senior Manager</v>
      </c>
      <c r="F8" s="141" t="str">
        <f>IFERROR(__xludf.DUMMYFUNCTION("""COMPUTED_VALUE"""),"Beginner + Intermediate")</f>
        <v>Beginner + Intermediate</v>
      </c>
      <c r="G8" s="143">
        <f>IFERROR(__xludf.DUMMYFUNCTION("""COMPUTED_VALUE"""),0.023680555555555555)</f>
        <v>0.02368055556</v>
      </c>
      <c r="H8" s="149" t="str">
        <f>IFERROR(__xludf.DUMMYFUNCTION("""COMPUTED_VALUE"""),"Improve Your Organizational Skills")</f>
        <v>Improve Your Organizational Skills</v>
      </c>
      <c r="I8" s="140"/>
      <c r="J8" s="140"/>
      <c r="K8" s="140"/>
      <c r="L8" s="147">
        <f>IFERROR(__xludf.DUMMYFUNCTION("""COMPUTED_VALUE"""),2811712.0)</f>
        <v>2811712</v>
      </c>
      <c r="M8" s="150" t="str">
        <f>IFERROR(__xludf.DUMMYFUNCTION("""COMPUTED_VALUE"""),"Aaron Dignan on Transformational Change")</f>
        <v>Aaron Dignan on Transformational Change</v>
      </c>
      <c r="N8" s="147" t="str">
        <f>IFERROR(__xludf.DUMMYFUNCTION("""COMPUTED_VALUE"""),"C-Suite")</f>
        <v>C-Suite</v>
      </c>
      <c r="O8" s="141" t="str">
        <f>IFERROR(__xludf.DUMMYFUNCTION("""COMPUTED_VALUE"""),"General")</f>
        <v>General</v>
      </c>
      <c r="P8" s="146">
        <f>IFERROR(__xludf.DUMMYFUNCTION("""COMPUTED_VALUE"""),0.013125)</f>
        <v>0.013125</v>
      </c>
      <c r="Q8" s="149" t="str">
        <f>IFERROR(__xludf.DUMMYFUNCTION("""COMPUTED_VALUE"""),"Master In-Demand Professional Soft Skills")</f>
        <v>Master In-Demand Professional Soft Skills</v>
      </c>
      <c r="R8" s="140"/>
      <c r="S8" s="140"/>
    </row>
    <row r="9" ht="33.75" customHeight="1">
      <c r="A9" s="140"/>
      <c r="B9" s="140"/>
      <c r="C9" s="147">
        <f>IFERROR(__xludf.DUMMYFUNCTION("""COMPUTED_VALUE"""),661749.0)</f>
        <v>661749</v>
      </c>
      <c r="D9" s="148" t="str">
        <f>IFERROR(__xludf.DUMMYFUNCTION("""COMPUTED_VALUE"""),"Learning Agility")</f>
        <v>Learning Agility</v>
      </c>
      <c r="E9" s="147" t="str">
        <f>IFERROR(__xludf.DUMMYFUNCTION("""COMPUTED_VALUE"""),"Senior Manager")</f>
        <v>Senior Manager</v>
      </c>
      <c r="F9" s="141" t="str">
        <f>IFERROR(__xludf.DUMMYFUNCTION("""COMPUTED_VALUE"""),"General")</f>
        <v>General</v>
      </c>
      <c r="G9" s="143">
        <f>IFERROR(__xludf.DUMMYFUNCTION("""COMPUTED_VALUE"""),0.02443287037037037)</f>
        <v>0.02443287037</v>
      </c>
      <c r="H9" s="149" t="str">
        <f>IFERROR(__xludf.DUMMYFUNCTION("""COMPUTED_VALUE"""),"Remote Working: Setting Yourself and Your Teams Up for Success")</f>
        <v>Remote Working: Setting Yourself and Your Teams Up for Success</v>
      </c>
      <c r="I9" s="140"/>
      <c r="J9" s="140"/>
      <c r="K9" s="140"/>
      <c r="L9" s="147">
        <f>IFERROR(__xludf.DUMMYFUNCTION("""COMPUTED_VALUE"""),664805.0)</f>
        <v>664805</v>
      </c>
      <c r="M9" s="148" t="str">
        <f>IFERROR(__xludf.DUMMYFUNCTION("""COMPUTED_VALUE"""),"Managing Globally")</f>
        <v>Managing Globally</v>
      </c>
      <c r="N9" s="147" t="str">
        <f>IFERROR(__xludf.DUMMYFUNCTION("""COMPUTED_VALUE"""),"C-Suite")</f>
        <v>C-Suite</v>
      </c>
      <c r="O9" s="141" t="str">
        <f>IFERROR(__xludf.DUMMYFUNCTION("""COMPUTED_VALUE"""),"Intermediate")</f>
        <v>Intermediate</v>
      </c>
      <c r="P9" s="143">
        <f>IFERROR(__xludf.DUMMYFUNCTION("""COMPUTED_VALUE"""),0.03311342592592593)</f>
        <v>0.03311342593</v>
      </c>
      <c r="Q9" s="151"/>
      <c r="R9" s="140"/>
      <c r="S9" s="140"/>
    </row>
    <row r="10" ht="33.75" customHeight="1">
      <c r="A10" s="140"/>
      <c r="B10" s="140"/>
      <c r="C10" s="147">
        <f>IFERROR(__xludf.DUMMYFUNCTION("""COMPUTED_VALUE"""),784282.0)</f>
        <v>784282</v>
      </c>
      <c r="D10" s="148" t="str">
        <f>IFERROR(__xludf.DUMMYFUNCTION("""COMPUTED_VALUE"""),"Strategic Focus for Managers")</f>
        <v>Strategic Focus for Managers</v>
      </c>
      <c r="E10" s="147" t="str">
        <f>IFERROR(__xludf.DUMMYFUNCTION("""COMPUTED_VALUE"""),"Senior Manager")</f>
        <v>Senior Manager</v>
      </c>
      <c r="F10" s="141" t="str">
        <f>IFERROR(__xludf.DUMMYFUNCTION("""COMPUTED_VALUE"""),"Intermediate")</f>
        <v>Intermediate</v>
      </c>
      <c r="G10" s="143">
        <f>IFERROR(__xludf.DUMMYFUNCTION("""COMPUTED_VALUE"""),0.02167824074074074)</f>
        <v>0.02167824074</v>
      </c>
      <c r="H10" s="152"/>
      <c r="I10" s="140"/>
      <c r="J10" s="140"/>
      <c r="K10" s="140"/>
      <c r="L10" s="147">
        <f>IFERROR(__xludf.DUMMYFUNCTION("""COMPUTED_VALUE"""),5015882.0)</f>
        <v>5015882</v>
      </c>
      <c r="M10" s="148" t="str">
        <f>IFERROR(__xludf.DUMMYFUNCTION("""COMPUTED_VALUE"""),"The Hard Thing About Hard Things: Building a Business When There Are No Easy Answers (Blinkist Summary)")</f>
        <v>The Hard Thing About Hard Things: Building a Business When There Are No Easy Answers (Blinkist Summary)</v>
      </c>
      <c r="N10" s="147" t="str">
        <f>IFERROR(__xludf.DUMMYFUNCTION("""COMPUTED_VALUE"""),"C-Suite")</f>
        <v>C-Suite</v>
      </c>
      <c r="O10" s="141" t="str">
        <f>IFERROR(__xludf.DUMMYFUNCTION("""COMPUTED_VALUE"""),"Intermediate")</f>
        <v>Intermediate</v>
      </c>
      <c r="P10" s="143">
        <f>IFERROR(__xludf.DUMMYFUNCTION("""COMPUTED_VALUE"""),0.019085648148148147)</f>
        <v>0.01908564815</v>
      </c>
      <c r="Q10" s="152"/>
      <c r="R10" s="140"/>
      <c r="S10" s="140"/>
    </row>
    <row r="11" ht="33.75" customHeight="1">
      <c r="A11" s="140"/>
      <c r="B11" s="140"/>
      <c r="C11" s="147">
        <f>IFERROR(__xludf.DUMMYFUNCTION("""COMPUTED_VALUE"""),5010646.0)</f>
        <v>5010646</v>
      </c>
      <c r="D11" s="148" t="str">
        <f>IFERROR(__xludf.DUMMYFUNCTION("""COMPUTED_VALUE"""),"Building Resilience as a Leader")</f>
        <v>Building Resilience as a Leader</v>
      </c>
      <c r="E11" s="147" t="str">
        <f>IFERROR(__xludf.DUMMYFUNCTION("""COMPUTED_VALUE"""),"Senior Manager")</f>
        <v>Senior Manager</v>
      </c>
      <c r="F11" s="141" t="str">
        <f>IFERROR(__xludf.DUMMYFUNCTION("""COMPUTED_VALUE"""),"Intermediate")</f>
        <v>Intermediate</v>
      </c>
      <c r="G11" s="143">
        <f>IFERROR(__xludf.DUMMYFUNCTION("""COMPUTED_VALUE"""),0.02980324074074074)</f>
        <v>0.02980324074</v>
      </c>
      <c r="H11" s="151"/>
      <c r="I11" s="140"/>
      <c r="J11" s="140"/>
      <c r="K11" s="140"/>
      <c r="L11" s="147">
        <f>IFERROR(__xludf.DUMMYFUNCTION("""COMPUTED_VALUE"""),2881200.0)</f>
        <v>2881200</v>
      </c>
      <c r="M11" s="148" t="str">
        <f>IFERROR(__xludf.DUMMYFUNCTION("""COMPUTED_VALUE"""),"Coaching Yourself and Your Team from Uncertainty to Action")</f>
        <v>Coaching Yourself and Your Team from Uncertainty to Action</v>
      </c>
      <c r="N11" s="147" t="str">
        <f>IFERROR(__xludf.DUMMYFUNCTION("""COMPUTED_VALUE"""),"Senior Manager")</f>
        <v>Senior Manager</v>
      </c>
      <c r="O11" s="141" t="str">
        <f>IFERROR(__xludf.DUMMYFUNCTION("""COMPUTED_VALUE"""),"Advanced")</f>
        <v>Advanced</v>
      </c>
      <c r="P11" s="143">
        <f>IFERROR(__xludf.DUMMYFUNCTION("""COMPUTED_VALUE"""),0.02181712962962963)</f>
        <v>0.02181712963</v>
      </c>
      <c r="Q11" s="151"/>
      <c r="R11" s="140"/>
      <c r="S11" s="140"/>
    </row>
    <row r="12" ht="33.75" customHeight="1">
      <c r="A12" s="140"/>
      <c r="B12" s="140"/>
      <c r="C12" s="147">
        <f>IFERROR(__xludf.DUMMYFUNCTION("""COMPUTED_VALUE"""),2890004.0)</f>
        <v>2890004</v>
      </c>
      <c r="D12" s="148" t="str">
        <f>IFERROR(__xludf.DUMMYFUNCTION("""COMPUTED_VALUE"""),"Building a Trustworthy Reputation")</f>
        <v>Building a Trustworthy Reputation</v>
      </c>
      <c r="E12" s="147" t="str">
        <f>IFERROR(__xludf.DUMMYFUNCTION("""COMPUTED_VALUE"""),"Individual Contributor")</f>
        <v>Individual Contributor</v>
      </c>
      <c r="F12" s="141" t="str">
        <f>IFERROR(__xludf.DUMMYFUNCTION("""COMPUTED_VALUE"""),"General")</f>
        <v>General</v>
      </c>
      <c r="G12" s="143">
        <f>IFERROR(__xludf.DUMMYFUNCTION("""COMPUTED_VALUE"""),0.03364583333333333)</f>
        <v>0.03364583333</v>
      </c>
      <c r="H12" s="151"/>
      <c r="I12" s="140"/>
      <c r="J12" s="140"/>
      <c r="K12" s="140"/>
      <c r="L12" s="147">
        <f>IFERROR(__xludf.DUMMYFUNCTION("""COMPUTED_VALUE"""),661749.0)</f>
        <v>661749</v>
      </c>
      <c r="M12" s="148" t="str">
        <f>IFERROR(__xludf.DUMMYFUNCTION("""COMPUTED_VALUE"""),"Learning Agility")</f>
        <v>Learning Agility</v>
      </c>
      <c r="N12" s="147" t="str">
        <f>IFERROR(__xludf.DUMMYFUNCTION("""COMPUTED_VALUE"""),"Senior Manager")</f>
        <v>Senior Manager</v>
      </c>
      <c r="O12" s="141" t="str">
        <f>IFERROR(__xludf.DUMMYFUNCTION("""COMPUTED_VALUE"""),"General")</f>
        <v>General</v>
      </c>
      <c r="P12" s="143">
        <f>IFERROR(__xludf.DUMMYFUNCTION("""COMPUTED_VALUE"""),0.02443287037037037)</f>
        <v>0.02443287037</v>
      </c>
      <c r="Q12" s="151"/>
      <c r="R12" s="140"/>
      <c r="S12" s="140"/>
    </row>
    <row r="13" ht="33.75" customHeight="1">
      <c r="A13" s="140"/>
      <c r="B13" s="140"/>
      <c r="C13" s="147">
        <f>IFERROR(__xludf.DUMMYFUNCTION("""COMPUTED_VALUE"""),2423393.0)</f>
        <v>2423393</v>
      </c>
      <c r="D13" s="148" t="str">
        <f>IFERROR(__xludf.DUMMYFUNCTION("""COMPUTED_VALUE"""),"Humane Productivity")</f>
        <v>Humane Productivity</v>
      </c>
      <c r="E13" s="147" t="str">
        <f>IFERROR(__xludf.DUMMYFUNCTION("""COMPUTED_VALUE"""),"Individual Contributor")</f>
        <v>Individual Contributor</v>
      </c>
      <c r="F13" s="141" t="str">
        <f>IFERROR(__xludf.DUMMYFUNCTION("""COMPUTED_VALUE"""),"General")</f>
        <v>General</v>
      </c>
      <c r="G13" s="143">
        <f>IFERROR(__xludf.DUMMYFUNCTION("""COMPUTED_VALUE"""),0.03640046296296296)</f>
        <v>0.03640046296</v>
      </c>
      <c r="H13" s="152"/>
      <c r="I13" s="140"/>
      <c r="J13" s="140"/>
      <c r="K13" s="140"/>
      <c r="L13" s="147">
        <f>IFERROR(__xludf.DUMMYFUNCTION("""COMPUTED_VALUE"""),520220.0)</f>
        <v>520220</v>
      </c>
      <c r="M13" s="148" t="str">
        <f>IFERROR(__xludf.DUMMYFUNCTION("""COMPUTED_VALUE"""),"Organizational Learning and Development")</f>
        <v>Organizational Learning and Development</v>
      </c>
      <c r="N13" s="147" t="str">
        <f>IFERROR(__xludf.DUMMYFUNCTION("""COMPUTED_VALUE"""),"Senior Manager")</f>
        <v>Senior Manager</v>
      </c>
      <c r="O13" s="141" t="str">
        <f>IFERROR(__xludf.DUMMYFUNCTION("""COMPUTED_VALUE"""),"Intermediate")</f>
        <v>Intermediate</v>
      </c>
      <c r="P13" s="143">
        <f>IFERROR(__xludf.DUMMYFUNCTION("""COMPUTED_VALUE"""),0.03736111111111111)</f>
        <v>0.03736111111</v>
      </c>
      <c r="Q13" s="152"/>
      <c r="R13" s="140"/>
      <c r="S13" s="140"/>
    </row>
    <row r="14" ht="33.75" customHeight="1">
      <c r="A14" s="140"/>
      <c r="B14" s="140"/>
      <c r="C14" s="147">
        <f>IFERROR(__xludf.DUMMYFUNCTION("""COMPUTED_VALUE"""),2888109.0)</f>
        <v>2888109</v>
      </c>
      <c r="D14" s="148" t="str">
        <f>IFERROR(__xludf.DUMMYFUNCTION("""COMPUTED_VALUE"""),"How to Build Virtual Accountability")</f>
        <v>How to Build Virtual Accountability</v>
      </c>
      <c r="E14" s="147" t="str">
        <f>IFERROR(__xludf.DUMMYFUNCTION("""COMPUTED_VALUE"""),"Manager")</f>
        <v>Manager</v>
      </c>
      <c r="F14" s="141" t="str">
        <f>IFERROR(__xludf.DUMMYFUNCTION("""COMPUTED_VALUE"""),"Intermediate")</f>
        <v>Intermediate</v>
      </c>
      <c r="G14" s="143">
        <f>IFERROR(__xludf.DUMMYFUNCTION("""COMPUTED_VALUE"""),0.039907407407407405)</f>
        <v>0.03990740741</v>
      </c>
      <c r="H14" s="151"/>
      <c r="I14" s="140"/>
      <c r="J14" s="140"/>
      <c r="K14" s="140"/>
      <c r="L14" s="147">
        <f>IFERROR(__xludf.DUMMYFUNCTION("""COMPUTED_VALUE"""),580624.0)</f>
        <v>580624</v>
      </c>
      <c r="M14" s="148" t="str">
        <f>IFERROR(__xludf.DUMMYFUNCTION("""COMPUTED_VALUE"""),"Communicating in Times of Change")</f>
        <v>Communicating in Times of Change</v>
      </c>
      <c r="N14" s="147" t="str">
        <f>IFERROR(__xludf.DUMMYFUNCTION("""COMPUTED_VALUE"""),"Senior Manager")</f>
        <v>Senior Manager</v>
      </c>
      <c r="O14" s="141" t="str">
        <f>IFERROR(__xludf.DUMMYFUNCTION("""COMPUTED_VALUE"""),"Intermediate")</f>
        <v>Intermediate</v>
      </c>
      <c r="P14" s="143">
        <f>IFERROR(__xludf.DUMMYFUNCTION("""COMPUTED_VALUE"""),0.03596064814814815)</f>
        <v>0.03596064815</v>
      </c>
      <c r="Q14" s="151"/>
      <c r="R14" s="140"/>
      <c r="S14" s="140"/>
    </row>
    <row r="15" ht="33.75" customHeight="1">
      <c r="A15" s="140"/>
      <c r="B15" s="140"/>
      <c r="C15" s="147">
        <f>IFERROR(__xludf.DUMMYFUNCTION("""COMPUTED_VALUE"""),2825260.0)</f>
        <v>2825260</v>
      </c>
      <c r="D15" s="148" t="str">
        <f>IFERROR(__xludf.DUMMYFUNCTION("""COMPUTED_VALUE"""),"Holding Your Team Accountable")</f>
        <v>Holding Your Team Accountable</v>
      </c>
      <c r="E15" s="147" t="str">
        <f>IFERROR(__xludf.DUMMYFUNCTION("""COMPUTED_VALUE"""),"Manager")</f>
        <v>Manager</v>
      </c>
      <c r="F15" s="141" t="str">
        <f>IFERROR(__xludf.DUMMYFUNCTION("""COMPUTED_VALUE"""),"Intermediate")</f>
        <v>Intermediate</v>
      </c>
      <c r="G15" s="143">
        <f>IFERROR(__xludf.DUMMYFUNCTION("""COMPUTED_VALUE"""),0.035590277777777776)</f>
        <v>0.03559027778</v>
      </c>
      <c r="H15" s="151"/>
      <c r="I15" s="140"/>
      <c r="J15" s="140"/>
      <c r="K15" s="140"/>
      <c r="L15" s="147">
        <f>IFERROR(__xludf.DUMMYFUNCTION("""COMPUTED_VALUE"""),2807856.0)</f>
        <v>2807856</v>
      </c>
      <c r="M15" s="148" t="str">
        <f>IFERROR(__xludf.DUMMYFUNCTION("""COMPUTED_VALUE"""),"Unlock Your Team's Creativity")</f>
        <v>Unlock Your Team's Creativity</v>
      </c>
      <c r="N15" s="147" t="str">
        <f>IFERROR(__xludf.DUMMYFUNCTION("""COMPUTED_VALUE"""),"Manager")</f>
        <v>Manager</v>
      </c>
      <c r="O15" s="141" t="str">
        <f>IFERROR(__xludf.DUMMYFUNCTION("""COMPUTED_VALUE"""),"General")</f>
        <v>General</v>
      </c>
      <c r="P15" s="143">
        <f>IFERROR(__xludf.DUMMYFUNCTION("""COMPUTED_VALUE"""),0.02775462962962963)</f>
        <v>0.02775462963</v>
      </c>
      <c r="Q15" s="151"/>
      <c r="R15" s="140"/>
      <c r="S15" s="140"/>
    </row>
    <row r="16" ht="33.75" customHeight="1">
      <c r="A16" s="140"/>
      <c r="B16" s="140"/>
      <c r="C16" s="147">
        <f>IFERROR(__xludf.DUMMYFUNCTION("""COMPUTED_VALUE"""),2822683.0)</f>
        <v>2822683</v>
      </c>
      <c r="D16" s="148" t="str">
        <f>IFERROR(__xludf.DUMMYFUNCTION("""COMPUTED_VALUE"""),"Demonstrating Accountability as a Leader")</f>
        <v>Demonstrating Accountability as a Leader</v>
      </c>
      <c r="E16" s="147" t="str">
        <f>IFERROR(__xludf.DUMMYFUNCTION("""COMPUTED_VALUE"""),"Manager")</f>
        <v>Manager</v>
      </c>
      <c r="F16" s="141" t="str">
        <f>IFERROR(__xludf.DUMMYFUNCTION("""COMPUTED_VALUE"""),"Intermediate")</f>
        <v>Intermediate</v>
      </c>
      <c r="G16" s="143">
        <f>IFERROR(__xludf.DUMMYFUNCTION("""COMPUTED_VALUE"""),0.010833333333333334)</f>
        <v>0.01083333333</v>
      </c>
      <c r="H16" s="151"/>
      <c r="I16" s="140"/>
      <c r="J16" s="140"/>
      <c r="K16" s="140"/>
      <c r="L16" s="147">
        <f>IFERROR(__xludf.DUMMYFUNCTION("""COMPUTED_VALUE"""),711796.0)</f>
        <v>711796</v>
      </c>
      <c r="M16" s="148" t="str">
        <f>IFERROR(__xludf.DUMMYFUNCTION("""COMPUTED_VALUE"""),"Managing Organizational Change for Managers")</f>
        <v>Managing Organizational Change for Managers</v>
      </c>
      <c r="N16" s="147" t="str">
        <f>IFERROR(__xludf.DUMMYFUNCTION("""COMPUTED_VALUE"""),"Manager")</f>
        <v>Manager</v>
      </c>
      <c r="O16" s="141" t="str">
        <f>IFERROR(__xludf.DUMMYFUNCTION("""COMPUTED_VALUE"""),"Intermediate")</f>
        <v>Intermediate</v>
      </c>
      <c r="P16" s="143">
        <f>IFERROR(__xludf.DUMMYFUNCTION("""COMPUTED_VALUE"""),0.05744212962962963)</f>
        <v>0.05744212963</v>
      </c>
      <c r="Q16" s="151"/>
      <c r="R16" s="140"/>
      <c r="S16" s="140"/>
    </row>
    <row r="17" ht="33.75" customHeight="1">
      <c r="A17" s="140"/>
      <c r="B17" s="140"/>
      <c r="C17" s="147">
        <f>IFERROR(__xludf.DUMMYFUNCTION("""COMPUTED_VALUE"""),2804658.0)</f>
        <v>2804658</v>
      </c>
      <c r="D17" s="148" t="str">
        <f>IFERROR(__xludf.DUMMYFUNCTION("""COMPUTED_VALUE"""),"Be More Productive: Take Small Steps, Have Big Goals")</f>
        <v>Be More Productive: Take Small Steps, Have Big Goals</v>
      </c>
      <c r="E17" s="147" t="str">
        <f>IFERROR(__xludf.DUMMYFUNCTION("""COMPUTED_VALUE"""),"General")</f>
        <v>General</v>
      </c>
      <c r="F17" s="141" t="str">
        <f>IFERROR(__xludf.DUMMYFUNCTION("""COMPUTED_VALUE"""),"Beginner")</f>
        <v>Beginner</v>
      </c>
      <c r="G17" s="143">
        <f>IFERROR(__xludf.DUMMYFUNCTION("""COMPUTED_VALUE"""),0.019097222222222224)</f>
        <v>0.01909722222</v>
      </c>
      <c r="H17" s="151"/>
      <c r="I17" s="140"/>
      <c r="J17" s="140"/>
      <c r="K17" s="140"/>
      <c r="L17" s="147">
        <f>IFERROR(__xludf.DUMMYFUNCTION("""COMPUTED_VALUE"""),753899.0)</f>
        <v>753899</v>
      </c>
      <c r="M17" s="148" t="str">
        <f>IFERROR(__xludf.DUMMYFUNCTION("""COMPUTED_VALUE"""),"Developing Adaptability as a Manager")</f>
        <v>Developing Adaptability as a Manager</v>
      </c>
      <c r="N17" s="147" t="str">
        <f>IFERROR(__xludf.DUMMYFUNCTION("""COMPUTED_VALUE"""),"Manager")</f>
        <v>Manager</v>
      </c>
      <c r="O17" s="141" t="str">
        <f>IFERROR(__xludf.DUMMYFUNCTION("""COMPUTED_VALUE"""),"Intermediate")</f>
        <v>Intermediate</v>
      </c>
      <c r="P17" s="143">
        <f>IFERROR(__xludf.DUMMYFUNCTION("""COMPUTED_VALUE"""),0.02295138888888889)</f>
        <v>0.02295138889</v>
      </c>
      <c r="Q17" s="151"/>
      <c r="R17" s="140"/>
      <c r="S17" s="140"/>
    </row>
    <row r="18" ht="33.75" customHeight="1">
      <c r="A18" s="140"/>
      <c r="B18" s="140"/>
      <c r="C18" s="147">
        <f>IFERROR(__xludf.DUMMYFUNCTION("""COMPUTED_VALUE"""),661751.0)</f>
        <v>661751</v>
      </c>
      <c r="D18" s="148" t="str">
        <f>IFERROR(__xludf.DUMMYFUNCTION("""COMPUTED_VALUE"""),"Developing a Learning Mindset")</f>
        <v>Developing a Learning Mindset</v>
      </c>
      <c r="E18" s="147" t="str">
        <f>IFERROR(__xludf.DUMMYFUNCTION("""COMPUTED_VALUE"""),"General")</f>
        <v>General</v>
      </c>
      <c r="F18" s="141" t="str">
        <f>IFERROR(__xludf.DUMMYFUNCTION("""COMPUTED_VALUE"""),"Beginner")</f>
        <v>Beginner</v>
      </c>
      <c r="G18" s="143">
        <f>IFERROR(__xludf.DUMMYFUNCTION("""COMPUTED_VALUE"""),0.021296296296296296)</f>
        <v>0.0212962963</v>
      </c>
      <c r="H18" s="151"/>
      <c r="I18" s="140"/>
      <c r="J18" s="140"/>
      <c r="K18" s="140"/>
      <c r="L18" s="147">
        <f>IFERROR(__xludf.DUMMYFUNCTION("""COMPUTED_VALUE"""),5022327.0)</f>
        <v>5022327</v>
      </c>
      <c r="M18" s="148" t="str">
        <f>IFERROR(__xludf.DUMMYFUNCTION("""COMPUTED_VALUE"""),"Leading Your Team Through Change")</f>
        <v>Leading Your Team Through Change</v>
      </c>
      <c r="N18" s="147" t="str">
        <f>IFERROR(__xludf.DUMMYFUNCTION("""COMPUTED_VALUE"""),"Manager")</f>
        <v>Manager</v>
      </c>
      <c r="O18" s="141" t="str">
        <f>IFERROR(__xludf.DUMMYFUNCTION("""COMPUTED_VALUE"""),"Intermediate")</f>
        <v>Intermediate</v>
      </c>
      <c r="P18" s="143">
        <f>IFERROR(__xludf.DUMMYFUNCTION("""COMPUTED_VALUE"""),0.014861111111111111)</f>
        <v>0.01486111111</v>
      </c>
      <c r="Q18" s="151"/>
      <c r="R18" s="140"/>
      <c r="S18" s="140"/>
    </row>
    <row r="19" ht="33.75" customHeight="1">
      <c r="A19" s="140"/>
      <c r="B19" s="140"/>
      <c r="C19" s="147">
        <f>IFERROR(__xludf.DUMMYFUNCTION("""COMPUTED_VALUE"""),625908.0)</f>
        <v>625908</v>
      </c>
      <c r="D19" s="148" t="str">
        <f>IFERROR(__xludf.DUMMYFUNCTION("""COMPUTED_VALUE"""),"Holding Yourself Accountable")</f>
        <v>Holding Yourself Accountable</v>
      </c>
      <c r="E19" s="147" t="str">
        <f>IFERROR(__xludf.DUMMYFUNCTION("""COMPUTED_VALUE"""),"General")</f>
        <v>General</v>
      </c>
      <c r="F19" s="141" t="str">
        <f>IFERROR(__xludf.DUMMYFUNCTION("""COMPUTED_VALUE"""),"Beginner")</f>
        <v>Beginner</v>
      </c>
      <c r="G19" s="143">
        <f>IFERROR(__xludf.DUMMYFUNCTION("""COMPUTED_VALUE"""),0.024965277777777777)</f>
        <v>0.02496527778</v>
      </c>
      <c r="H19" s="151"/>
      <c r="I19" s="140"/>
      <c r="J19" s="140"/>
      <c r="K19" s="140"/>
      <c r="L19" s="147">
        <f>IFERROR(__xludf.DUMMYFUNCTION("""COMPUTED_VALUE"""),2421749.0)</f>
        <v>2421749</v>
      </c>
      <c r="M19" s="148" t="str">
        <f>IFERROR(__xludf.DUMMYFUNCTION("""COMPUTED_VALUE"""),"Leading in the Moment")</f>
        <v>Leading in the Moment</v>
      </c>
      <c r="N19" s="147" t="str">
        <f>IFERROR(__xludf.DUMMYFUNCTION("""COMPUTED_VALUE"""),"Manager")</f>
        <v>Manager</v>
      </c>
      <c r="O19" s="141" t="str">
        <f>IFERROR(__xludf.DUMMYFUNCTION("""COMPUTED_VALUE"""),"Intermediate")</f>
        <v>Intermediate</v>
      </c>
      <c r="P19" s="143">
        <f>IFERROR(__xludf.DUMMYFUNCTION("""COMPUTED_VALUE"""),0.03246527777777778)</f>
        <v>0.03246527778</v>
      </c>
      <c r="Q19" s="151"/>
      <c r="R19" s="140"/>
      <c r="S19" s="140"/>
    </row>
    <row r="20" ht="33.75" customHeight="1">
      <c r="A20" s="140"/>
      <c r="B20" s="140"/>
      <c r="C20" s="147">
        <f>IFERROR(__xludf.DUMMYFUNCTION("""COMPUTED_VALUE"""),155342.0)</f>
        <v>155342</v>
      </c>
      <c r="D20" s="148" t="str">
        <f>IFERROR(__xludf.DUMMYFUNCTION("""COMPUTED_VALUE"""),"Solving Business Problems")</f>
        <v>Solving Business Problems</v>
      </c>
      <c r="E20" s="147" t="str">
        <f>IFERROR(__xludf.DUMMYFUNCTION("""COMPUTED_VALUE"""),"General")</f>
        <v>General</v>
      </c>
      <c r="F20" s="141" t="str">
        <f>IFERROR(__xludf.DUMMYFUNCTION("""COMPUTED_VALUE"""),"Beginner")</f>
        <v>Beginner</v>
      </c>
      <c r="G20" s="143">
        <f>IFERROR(__xludf.DUMMYFUNCTION("""COMPUTED_VALUE"""),0.025034722222222222)</f>
        <v>0.02503472222</v>
      </c>
      <c r="H20" s="151"/>
      <c r="I20" s="140"/>
      <c r="J20" s="140"/>
      <c r="K20" s="140"/>
      <c r="L20" s="147">
        <f>IFERROR(__xludf.DUMMYFUNCTION("""COMPUTED_VALUE"""),2880191.0)</f>
        <v>2880191</v>
      </c>
      <c r="M20" s="148" t="str">
        <f>IFERROR(__xludf.DUMMYFUNCTION("""COMPUTED_VALUE"""),"Building the Resources for Resilience")</f>
        <v>Building the Resources for Resilience</v>
      </c>
      <c r="N20" s="147" t="str">
        <f>IFERROR(__xludf.DUMMYFUNCTION("""COMPUTED_VALUE"""),"Individual Contributor")</f>
        <v>Individual Contributor</v>
      </c>
      <c r="O20" s="141" t="str">
        <f>IFERROR(__xludf.DUMMYFUNCTION("""COMPUTED_VALUE"""),"Beginner")</f>
        <v>Beginner</v>
      </c>
      <c r="P20" s="143">
        <f>IFERROR(__xludf.DUMMYFUNCTION("""COMPUTED_VALUE"""),0.01855324074074074)</f>
        <v>0.01855324074</v>
      </c>
      <c r="Q20" s="151"/>
      <c r="R20" s="140"/>
      <c r="S20" s="140"/>
    </row>
    <row r="21" ht="33.75" customHeight="1">
      <c r="A21" s="140"/>
      <c r="B21" s="140"/>
      <c r="C21" s="147">
        <f>IFERROR(__xludf.DUMMYFUNCTION("""COMPUTED_VALUE"""),2813145.0)</f>
        <v>2813145</v>
      </c>
      <c r="D21" s="148" t="str">
        <f>IFERROR(__xludf.DUMMYFUNCTION("""COMPUTED_VALUE"""),"Proven Tips for Managing Your Time")</f>
        <v>Proven Tips for Managing Your Time</v>
      </c>
      <c r="E21" s="147" t="str">
        <f>IFERROR(__xludf.DUMMYFUNCTION("""COMPUTED_VALUE"""),"General")</f>
        <v>General</v>
      </c>
      <c r="F21" s="141" t="str">
        <f>IFERROR(__xludf.DUMMYFUNCTION("""COMPUTED_VALUE"""),"Beginner")</f>
        <v>Beginner</v>
      </c>
      <c r="G21" s="143">
        <f>IFERROR(__xludf.DUMMYFUNCTION("""COMPUTED_VALUE"""),0.011134259259259259)</f>
        <v>0.01113425926</v>
      </c>
      <c r="H21" s="151"/>
      <c r="I21" s="140"/>
      <c r="J21" s="140"/>
      <c r="K21" s="140"/>
      <c r="L21" s="147">
        <f>IFERROR(__xludf.DUMMYFUNCTION("""COMPUTED_VALUE"""),2880016.0)</f>
        <v>2880016</v>
      </c>
      <c r="M21" s="148" t="str">
        <f>IFERROR(__xludf.DUMMYFUNCTION("""COMPUTED_VALUE"""),"Staying Positive in the Face of Negativity")</f>
        <v>Staying Positive in the Face of Negativity</v>
      </c>
      <c r="N21" s="147" t="str">
        <f>IFERROR(__xludf.DUMMYFUNCTION("""COMPUTED_VALUE"""),"Individual Contributor")</f>
        <v>Individual Contributor</v>
      </c>
      <c r="O21" s="141" t="str">
        <f>IFERROR(__xludf.DUMMYFUNCTION("""COMPUTED_VALUE"""),"General")</f>
        <v>General</v>
      </c>
      <c r="P21" s="143">
        <f>IFERROR(__xludf.DUMMYFUNCTION("""COMPUTED_VALUE"""),0.03934027777777778)</f>
        <v>0.03934027778</v>
      </c>
      <c r="Q21" s="151"/>
      <c r="R21" s="140"/>
      <c r="S21" s="140"/>
    </row>
    <row r="22" ht="33.75" customHeight="1">
      <c r="A22" s="140"/>
      <c r="B22" s="140"/>
      <c r="C22" s="147">
        <f>IFERROR(__xludf.DUMMYFUNCTION("""COMPUTED_VALUE"""),2813184.0)</f>
        <v>2813184</v>
      </c>
      <c r="D22" s="148" t="str">
        <f>IFERROR(__xludf.DUMMYFUNCTION("""COMPUTED_VALUE"""),"Time Management Tips: Scheduling")</f>
        <v>Time Management Tips: Scheduling</v>
      </c>
      <c r="E22" s="147" t="str">
        <f>IFERROR(__xludf.DUMMYFUNCTION("""COMPUTED_VALUE"""),"General")</f>
        <v>General</v>
      </c>
      <c r="F22" s="141" t="str">
        <f>IFERROR(__xludf.DUMMYFUNCTION("""COMPUTED_VALUE"""),"Beginner")</f>
        <v>Beginner</v>
      </c>
      <c r="G22" s="143">
        <f>IFERROR(__xludf.DUMMYFUNCTION("""COMPUTED_VALUE"""),0.031967592592592596)</f>
        <v>0.03196759259</v>
      </c>
      <c r="H22" s="151"/>
      <c r="I22" s="140"/>
      <c r="J22" s="140"/>
      <c r="K22" s="140"/>
      <c r="L22" s="147">
        <f>IFERROR(__xludf.DUMMYFUNCTION("""COMPUTED_VALUE"""),2881151.0)</f>
        <v>2881151</v>
      </c>
      <c r="M22" s="148" t="str">
        <f>IFERROR(__xludf.DUMMYFUNCTION("""COMPUTED_VALUE"""),"Improve Cognitive Flexibility at Work")</f>
        <v>Improve Cognitive Flexibility at Work</v>
      </c>
      <c r="N22" s="147" t="str">
        <f>IFERROR(__xludf.DUMMYFUNCTION("""COMPUTED_VALUE"""),"Individual Contributor")</f>
        <v>Individual Contributor</v>
      </c>
      <c r="O22" s="141" t="str">
        <f>IFERROR(__xludf.DUMMYFUNCTION("""COMPUTED_VALUE"""),"General")</f>
        <v>General</v>
      </c>
      <c r="P22" s="143">
        <f>IFERROR(__xludf.DUMMYFUNCTION("""COMPUTED_VALUE"""),0.022569444444444444)</f>
        <v>0.02256944444</v>
      </c>
      <c r="Q22" s="151"/>
      <c r="R22" s="140"/>
      <c r="S22" s="140"/>
    </row>
    <row r="23" ht="33.75" customHeight="1">
      <c r="A23" s="140"/>
      <c r="B23" s="140"/>
      <c r="C23" s="147">
        <f>IFERROR(__xludf.DUMMYFUNCTION("""COMPUTED_VALUE"""),2813277.0)</f>
        <v>2813277</v>
      </c>
      <c r="D23" s="148" t="str">
        <f>IFERROR(__xludf.DUMMYFUNCTION("""COMPUTED_VALUE"""),"Time Management Tips: Teamwork")</f>
        <v>Time Management Tips: Teamwork</v>
      </c>
      <c r="E23" s="147" t="str">
        <f>IFERROR(__xludf.DUMMYFUNCTION("""COMPUTED_VALUE"""),"General")</f>
        <v>General</v>
      </c>
      <c r="F23" s="141" t="str">
        <f>IFERROR(__xludf.DUMMYFUNCTION("""COMPUTED_VALUE"""),"Beginner")</f>
        <v>Beginner</v>
      </c>
      <c r="G23" s="143">
        <f>IFERROR(__xludf.DUMMYFUNCTION("""COMPUTED_VALUE"""),0.030532407407407407)</f>
        <v>0.03053240741</v>
      </c>
      <c r="H23" s="151"/>
      <c r="I23" s="140"/>
      <c r="J23" s="140"/>
      <c r="K23" s="140"/>
      <c r="L23" s="147">
        <f>IFERROR(__xludf.DUMMYFUNCTION("""COMPUTED_VALUE"""),2823579.0)</f>
        <v>2823579</v>
      </c>
      <c r="M23" s="148" t="str">
        <f>IFERROR(__xludf.DUMMYFUNCTION("""COMPUTED_VALUE"""),"Adaptive Leadership for VUCA Challenges")</f>
        <v>Adaptive Leadership for VUCA Challenges</v>
      </c>
      <c r="N23" s="147" t="str">
        <f>IFERROR(__xludf.DUMMYFUNCTION("""COMPUTED_VALUE"""),"General")</f>
        <v>General</v>
      </c>
      <c r="O23" s="141" t="str">
        <f>IFERROR(__xludf.DUMMYFUNCTION("""COMPUTED_VALUE"""),"Advanced")</f>
        <v>Advanced</v>
      </c>
      <c r="P23" s="143">
        <f>IFERROR(__xludf.DUMMYFUNCTION("""COMPUTED_VALUE"""),0.022662037037037036)</f>
        <v>0.02266203704</v>
      </c>
      <c r="Q23" s="151"/>
      <c r="R23" s="140"/>
      <c r="S23" s="140"/>
    </row>
    <row r="24" ht="33.75" customHeight="1">
      <c r="A24" s="140"/>
      <c r="B24" s="140"/>
      <c r="C24" s="147">
        <f>IFERROR(__xludf.DUMMYFUNCTION("""COMPUTED_VALUE"""),2813278.0)</f>
        <v>2813278</v>
      </c>
      <c r="D24" s="148" t="str">
        <f>IFERROR(__xludf.DUMMYFUNCTION("""COMPUTED_VALUE"""),"Time Management Tips: Following Through")</f>
        <v>Time Management Tips: Following Through</v>
      </c>
      <c r="E24" s="147" t="str">
        <f>IFERROR(__xludf.DUMMYFUNCTION("""COMPUTED_VALUE"""),"General")</f>
        <v>General</v>
      </c>
      <c r="F24" s="141" t="str">
        <f>IFERROR(__xludf.DUMMYFUNCTION("""COMPUTED_VALUE"""),"Beginner")</f>
        <v>Beginner</v>
      </c>
      <c r="G24" s="143">
        <f>IFERROR(__xludf.DUMMYFUNCTION("""COMPUTED_VALUE"""),0.025694444444444443)</f>
        <v>0.02569444444</v>
      </c>
      <c r="H24" s="151"/>
      <c r="I24" s="140"/>
      <c r="J24" s="140"/>
      <c r="K24" s="140"/>
      <c r="L24" s="147">
        <f>IFERROR(__xludf.DUMMYFUNCTION("""COMPUTED_VALUE"""),2874005.0)</f>
        <v>2874005</v>
      </c>
      <c r="M24" s="148" t="str">
        <f>IFERROR(__xludf.DUMMYFUNCTION("""COMPUTED_VALUE"""),"Insights on Working from Home’s Largest-Ever Experiment")</f>
        <v>Insights on Working from Home’s Largest-Ever Experiment</v>
      </c>
      <c r="N24" s="147" t="str">
        <f>IFERROR(__xludf.DUMMYFUNCTION("""COMPUTED_VALUE"""),"General")</f>
        <v>General</v>
      </c>
      <c r="O24" s="141" t="str">
        <f>IFERROR(__xludf.DUMMYFUNCTION("""COMPUTED_VALUE"""),"Beginner")</f>
        <v>Beginner</v>
      </c>
      <c r="P24" s="143">
        <f>IFERROR(__xludf.DUMMYFUNCTION("""COMPUTED_VALUE"""),0.01678240740740741)</f>
        <v>0.01678240741</v>
      </c>
      <c r="Q24" s="151"/>
      <c r="R24" s="140"/>
      <c r="S24" s="140"/>
    </row>
    <row r="25" ht="33.75" customHeight="1">
      <c r="A25" s="140"/>
      <c r="B25" s="140"/>
      <c r="C25" s="147">
        <f>IFERROR(__xludf.DUMMYFUNCTION("""COMPUTED_VALUE"""),2813279.0)</f>
        <v>2813279</v>
      </c>
      <c r="D25" s="148" t="str">
        <f>IFERROR(__xludf.DUMMYFUNCTION("""COMPUTED_VALUE"""),"Productivity Tips: Finding Your Rhythm")</f>
        <v>Productivity Tips: Finding Your Rhythm</v>
      </c>
      <c r="E25" s="147" t="str">
        <f>IFERROR(__xludf.DUMMYFUNCTION("""COMPUTED_VALUE"""),"General")</f>
        <v>General</v>
      </c>
      <c r="F25" s="141" t="str">
        <f>IFERROR(__xludf.DUMMYFUNCTION("""COMPUTED_VALUE"""),"Beginner")</f>
        <v>Beginner</v>
      </c>
      <c r="G25" s="143">
        <f>IFERROR(__xludf.DUMMYFUNCTION("""COMPUTED_VALUE"""),0.02815972222222222)</f>
        <v>0.02815972222</v>
      </c>
      <c r="H25" s="151"/>
      <c r="I25" s="140"/>
      <c r="J25" s="140"/>
      <c r="K25" s="140"/>
      <c r="L25" s="147">
        <f>IFERROR(__xludf.DUMMYFUNCTION("""COMPUTED_VALUE"""),2876024.0)</f>
        <v>2876024</v>
      </c>
      <c r="M25" s="148" t="str">
        <f>IFERROR(__xludf.DUMMYFUNCTION("""COMPUTED_VALUE"""),"How to Slash Anxiety and Keep Positivity Flowing")</f>
        <v>How to Slash Anxiety and Keep Positivity Flowing</v>
      </c>
      <c r="N25" s="147" t="str">
        <f>IFERROR(__xludf.DUMMYFUNCTION("""COMPUTED_VALUE"""),"General")</f>
        <v>General</v>
      </c>
      <c r="O25" s="141" t="str">
        <f>IFERROR(__xludf.DUMMYFUNCTION("""COMPUTED_VALUE"""),"Beginner")</f>
        <v>Beginner</v>
      </c>
      <c r="P25" s="143">
        <f>IFERROR(__xludf.DUMMYFUNCTION("""COMPUTED_VALUE"""),0.0190625)</f>
        <v>0.0190625</v>
      </c>
      <c r="Q25" s="151"/>
      <c r="R25" s="140"/>
      <c r="S25" s="140"/>
    </row>
    <row r="26" ht="33.75" customHeight="1">
      <c r="A26" s="140"/>
      <c r="B26" s="140"/>
      <c r="C26" s="147">
        <f>IFERROR(__xludf.DUMMYFUNCTION("""COMPUTED_VALUE"""),2814141.0)</f>
        <v>2814141</v>
      </c>
      <c r="D26" s="148" t="str">
        <f>IFERROR(__xludf.DUMMYFUNCTION("""COMPUTED_VALUE"""),"Productivity Tips: Using Technology")</f>
        <v>Productivity Tips: Using Technology</v>
      </c>
      <c r="E26" s="147" t="str">
        <f>IFERROR(__xludf.DUMMYFUNCTION("""COMPUTED_VALUE"""),"General")</f>
        <v>General</v>
      </c>
      <c r="F26" s="141" t="str">
        <f>IFERROR(__xludf.DUMMYFUNCTION("""COMPUTED_VALUE"""),"Beginner")</f>
        <v>Beginner</v>
      </c>
      <c r="G26" s="143">
        <f>IFERROR(__xludf.DUMMYFUNCTION("""COMPUTED_VALUE"""),0.02652777777777778)</f>
        <v>0.02652777778</v>
      </c>
      <c r="H26" s="151"/>
      <c r="I26" s="140"/>
      <c r="J26" s="140"/>
      <c r="K26" s="140"/>
      <c r="L26" s="147">
        <f>IFERROR(__xludf.DUMMYFUNCTION("""COMPUTED_VALUE"""),2282149.0)</f>
        <v>2282149</v>
      </c>
      <c r="M26" s="148" t="str">
        <f>IFERROR(__xludf.DUMMYFUNCTION("""COMPUTED_VALUE"""),"Negotiating Work Flexibility")</f>
        <v>Negotiating Work Flexibility</v>
      </c>
      <c r="N26" s="147" t="str">
        <f>IFERROR(__xludf.DUMMYFUNCTION("""COMPUTED_VALUE"""),"General")</f>
        <v>General</v>
      </c>
      <c r="O26" s="141" t="str">
        <f>IFERROR(__xludf.DUMMYFUNCTION("""COMPUTED_VALUE"""),"Beginner")</f>
        <v>Beginner</v>
      </c>
      <c r="P26" s="143">
        <f>IFERROR(__xludf.DUMMYFUNCTION("""COMPUTED_VALUE"""),0.021886574074074076)</f>
        <v>0.02188657407</v>
      </c>
      <c r="Q26" s="151"/>
      <c r="R26" s="140"/>
      <c r="S26" s="140"/>
    </row>
    <row r="27" ht="33.75" customHeight="1">
      <c r="A27" s="140"/>
      <c r="B27" s="140"/>
      <c r="C27" s="147">
        <f>IFERROR(__xludf.DUMMYFUNCTION("""COMPUTED_VALUE"""),2814142.0)</f>
        <v>2814142</v>
      </c>
      <c r="D27" s="148" t="str">
        <f>IFERROR(__xludf.DUMMYFUNCTION("""COMPUTED_VALUE"""),"Productivity Tips: Finding Your Productive Mindset")</f>
        <v>Productivity Tips: Finding Your Productive Mindset</v>
      </c>
      <c r="E27" s="147" t="str">
        <f>IFERROR(__xludf.DUMMYFUNCTION("""COMPUTED_VALUE"""),"General")</f>
        <v>General</v>
      </c>
      <c r="F27" s="141" t="str">
        <f>IFERROR(__xludf.DUMMYFUNCTION("""COMPUTED_VALUE"""),"Beginner")</f>
        <v>Beginner</v>
      </c>
      <c r="G27" s="143">
        <f>IFERROR(__xludf.DUMMYFUNCTION("""COMPUTED_VALUE"""),0.041354166666666664)</f>
        <v>0.04135416667</v>
      </c>
      <c r="H27" s="151"/>
      <c r="I27" s="140"/>
      <c r="J27" s="140"/>
      <c r="K27" s="140"/>
      <c r="L27" s="147">
        <f>IFERROR(__xludf.DUMMYFUNCTION("""COMPUTED_VALUE"""),661751.0)</f>
        <v>661751</v>
      </c>
      <c r="M27" s="148" t="str">
        <f>IFERROR(__xludf.DUMMYFUNCTION("""COMPUTED_VALUE"""),"Developing a Learning Mindset")</f>
        <v>Developing a Learning Mindset</v>
      </c>
      <c r="N27" s="147" t="str">
        <f>IFERROR(__xludf.DUMMYFUNCTION("""COMPUTED_VALUE"""),"General")</f>
        <v>General</v>
      </c>
      <c r="O27" s="141" t="str">
        <f>IFERROR(__xludf.DUMMYFUNCTION("""COMPUTED_VALUE"""),"Beginner")</f>
        <v>Beginner</v>
      </c>
      <c r="P27" s="143">
        <f>IFERROR(__xludf.DUMMYFUNCTION("""COMPUTED_VALUE"""),0.021296296296296296)</f>
        <v>0.0212962963</v>
      </c>
      <c r="Q27" s="151"/>
      <c r="R27" s="140"/>
      <c r="S27" s="140"/>
    </row>
    <row r="28" ht="33.75" customHeight="1">
      <c r="A28" s="140"/>
      <c r="B28" s="140"/>
      <c r="C28" s="147">
        <f>IFERROR(__xludf.DUMMYFUNCTION("""COMPUTED_VALUE"""),2814143.0)</f>
        <v>2814143</v>
      </c>
      <c r="D28" s="148" t="str">
        <f>IFERROR(__xludf.DUMMYFUNCTION("""COMPUTED_VALUE"""),"Productivity Tips: Setting Up Your Workplace")</f>
        <v>Productivity Tips: Setting Up Your Workplace</v>
      </c>
      <c r="E28" s="147" t="str">
        <f>IFERROR(__xludf.DUMMYFUNCTION("""COMPUTED_VALUE"""),"General")</f>
        <v>General</v>
      </c>
      <c r="F28" s="141" t="str">
        <f>IFERROR(__xludf.DUMMYFUNCTION("""COMPUTED_VALUE"""),"Beginner")</f>
        <v>Beginner</v>
      </c>
      <c r="G28" s="143">
        <f>IFERROR(__xludf.DUMMYFUNCTION("""COMPUTED_VALUE"""),0.02803240740740741)</f>
        <v>0.02803240741</v>
      </c>
      <c r="H28" s="151"/>
      <c r="I28" s="140"/>
      <c r="J28" s="140"/>
      <c r="K28" s="140"/>
      <c r="L28" s="147">
        <f>IFERROR(__xludf.DUMMYFUNCTION("""COMPUTED_VALUE"""),2810626.0)</f>
        <v>2810626</v>
      </c>
      <c r="M28" s="148" t="str">
        <f>IFERROR(__xludf.DUMMYFUNCTION("""COMPUTED_VALUE"""),"Managing Stress")</f>
        <v>Managing Stress</v>
      </c>
      <c r="N28" s="147" t="str">
        <f>IFERROR(__xludf.DUMMYFUNCTION("""COMPUTED_VALUE"""),"General")</f>
        <v>General</v>
      </c>
      <c r="O28" s="141" t="str">
        <f>IFERROR(__xludf.DUMMYFUNCTION("""COMPUTED_VALUE"""),"Beginner")</f>
        <v>Beginner</v>
      </c>
      <c r="P28" s="143">
        <f>IFERROR(__xludf.DUMMYFUNCTION("""COMPUTED_VALUE"""),0.014722222222222222)</f>
        <v>0.01472222222</v>
      </c>
      <c r="Q28" s="151"/>
      <c r="R28" s="140"/>
      <c r="S28" s="140"/>
    </row>
    <row r="29" ht="33.75" customHeight="1">
      <c r="A29" s="140"/>
      <c r="B29" s="140"/>
      <c r="C29" s="147">
        <f>IFERROR(__xludf.DUMMYFUNCTION("""COMPUTED_VALUE"""),2815118.0)</f>
        <v>2815118</v>
      </c>
      <c r="D29" s="148" t="str">
        <f>IFERROR(__xludf.DUMMYFUNCTION("""COMPUTED_VALUE"""),"Productivity Tips: Taking Control of Email")</f>
        <v>Productivity Tips: Taking Control of Email</v>
      </c>
      <c r="E29" s="147" t="str">
        <f>IFERROR(__xludf.DUMMYFUNCTION("""COMPUTED_VALUE"""),"General")</f>
        <v>General</v>
      </c>
      <c r="F29" s="141" t="str">
        <f>IFERROR(__xludf.DUMMYFUNCTION("""COMPUTED_VALUE"""),"Beginner")</f>
        <v>Beginner</v>
      </c>
      <c r="G29" s="143">
        <f>IFERROR(__xludf.DUMMYFUNCTION("""COMPUTED_VALUE"""),0.022222222222222223)</f>
        <v>0.02222222222</v>
      </c>
      <c r="H29" s="151"/>
      <c r="I29" s="140"/>
      <c r="J29" s="140"/>
      <c r="K29" s="140"/>
      <c r="L29" s="147">
        <f>IFERROR(__xludf.DUMMYFUNCTION("""COMPUTED_VALUE"""),2811713.0)</f>
        <v>2811713</v>
      </c>
      <c r="M29" s="148" t="str">
        <f>IFERROR(__xludf.DUMMYFUNCTION("""COMPUTED_VALUE"""),"Avoiding Burnout")</f>
        <v>Avoiding Burnout</v>
      </c>
      <c r="N29" s="147" t="str">
        <f>IFERROR(__xludf.DUMMYFUNCTION("""COMPUTED_VALUE"""),"General")</f>
        <v>General</v>
      </c>
      <c r="O29" s="141" t="str">
        <f>IFERROR(__xludf.DUMMYFUNCTION("""COMPUTED_VALUE"""),"Beginner")</f>
        <v>Beginner</v>
      </c>
      <c r="P29" s="143">
        <f>IFERROR(__xludf.DUMMYFUNCTION("""COMPUTED_VALUE"""),0.016724537037037038)</f>
        <v>0.01672453704</v>
      </c>
      <c r="Q29" s="151"/>
      <c r="R29" s="140"/>
      <c r="S29" s="140"/>
    </row>
    <row r="30" ht="33.75" customHeight="1">
      <c r="A30" s="140"/>
      <c r="B30" s="140"/>
      <c r="C30" s="147">
        <f>IFERROR(__xludf.DUMMYFUNCTION("""COMPUTED_VALUE"""),2823511.0)</f>
        <v>2823511</v>
      </c>
      <c r="D30" s="148" t="str">
        <f>IFERROR(__xludf.DUMMYFUNCTION("""COMPUTED_VALUE"""),"Building a Better To-Do List")</f>
        <v>Building a Better To-Do List</v>
      </c>
      <c r="E30" s="147" t="str">
        <f>IFERROR(__xludf.DUMMYFUNCTION("""COMPUTED_VALUE"""),"General")</f>
        <v>General</v>
      </c>
      <c r="F30" s="141" t="str">
        <f>IFERROR(__xludf.DUMMYFUNCTION("""COMPUTED_VALUE"""),"Beginner")</f>
        <v>Beginner</v>
      </c>
      <c r="G30" s="143">
        <f>IFERROR(__xludf.DUMMYFUNCTION("""COMPUTED_VALUE"""),0.03487268518518519)</f>
        <v>0.03487268519</v>
      </c>
      <c r="H30" s="151"/>
      <c r="I30" s="140"/>
      <c r="J30" s="140"/>
      <c r="K30" s="140"/>
      <c r="L30" s="147">
        <f>IFERROR(__xludf.DUMMYFUNCTION("""COMPUTED_VALUE"""),2812532.0)</f>
        <v>2812532</v>
      </c>
      <c r="M30" s="148" t="str">
        <f>IFERROR(__xludf.DUMMYFUNCTION("""COMPUTED_VALUE"""),"Get Unstuck from a Career Rut")</f>
        <v>Get Unstuck from a Career Rut</v>
      </c>
      <c r="N30" s="147" t="str">
        <f>IFERROR(__xludf.DUMMYFUNCTION("""COMPUTED_VALUE"""),"General")</f>
        <v>General</v>
      </c>
      <c r="O30" s="141" t="str">
        <f>IFERROR(__xludf.DUMMYFUNCTION("""COMPUTED_VALUE"""),"Beginner")</f>
        <v>Beginner</v>
      </c>
      <c r="P30" s="143">
        <f>IFERROR(__xludf.DUMMYFUNCTION("""COMPUTED_VALUE"""),0.018796296296296297)</f>
        <v>0.0187962963</v>
      </c>
      <c r="Q30" s="151"/>
      <c r="R30" s="140"/>
      <c r="S30" s="140"/>
    </row>
    <row r="31" ht="33.75" customHeight="1">
      <c r="A31" s="140"/>
      <c r="B31" s="140"/>
      <c r="C31" s="147">
        <f>IFERROR(__xludf.DUMMYFUNCTION("""COMPUTED_VALUE"""),2242039.0)</f>
        <v>2242039</v>
      </c>
      <c r="D31" s="148" t="str">
        <f>IFERROR(__xludf.DUMMYFUNCTION("""COMPUTED_VALUE"""),"15 Secrets Successful People Know About Time Management (getAbstract Summary)")</f>
        <v>15 Secrets Successful People Know About Time Management (getAbstract Summary)</v>
      </c>
      <c r="E31" s="147" t="str">
        <f>IFERROR(__xludf.DUMMYFUNCTION("""COMPUTED_VALUE"""),"General")</f>
        <v>General</v>
      </c>
      <c r="F31" s="141" t="str">
        <f>IFERROR(__xludf.DUMMYFUNCTION("""COMPUTED_VALUE"""),"Beginner")</f>
        <v>Beginner</v>
      </c>
      <c r="G31" s="143">
        <f>IFERROR(__xludf.DUMMYFUNCTION("""COMPUTED_VALUE"""),0.005856481481481482)</f>
        <v>0.005856481481</v>
      </c>
      <c r="H31" s="151"/>
      <c r="I31" s="140"/>
      <c r="J31" s="140"/>
      <c r="K31" s="140"/>
      <c r="L31" s="147">
        <f>IFERROR(__xludf.DUMMYFUNCTION("""COMPUTED_VALUE"""),2822310.0)</f>
        <v>2822310</v>
      </c>
      <c r="M31" s="148" t="str">
        <f>IFERROR(__xludf.DUMMYFUNCTION("""COMPUTED_VALUE"""),"Subtle Shifts in Thinking for Tremendous Resilience")</f>
        <v>Subtle Shifts in Thinking for Tremendous Resilience</v>
      </c>
      <c r="N31" s="147" t="str">
        <f>IFERROR(__xludf.DUMMYFUNCTION("""COMPUTED_VALUE"""),"General")</f>
        <v>General</v>
      </c>
      <c r="O31" s="141" t="str">
        <f>IFERROR(__xludf.DUMMYFUNCTION("""COMPUTED_VALUE"""),"Beginner")</f>
        <v>Beginner</v>
      </c>
      <c r="P31" s="143">
        <f>IFERROR(__xludf.DUMMYFUNCTION("""COMPUTED_VALUE"""),0.018773148148148146)</f>
        <v>0.01877314815</v>
      </c>
      <c r="Q31" s="151"/>
      <c r="R31" s="140"/>
      <c r="S31" s="140"/>
    </row>
    <row r="32" ht="33.75" customHeight="1">
      <c r="A32" s="140"/>
      <c r="B32" s="140"/>
      <c r="C32" s="147">
        <f>IFERROR(__xludf.DUMMYFUNCTION("""COMPUTED_VALUE"""),2822203.0)</f>
        <v>2822203</v>
      </c>
      <c r="D32" s="148" t="str">
        <f>IFERROR(__xludf.DUMMYFUNCTION("""COMPUTED_VALUE"""),"How to Slow Down and Be More Productive")</f>
        <v>How to Slow Down and Be More Productive</v>
      </c>
      <c r="E32" s="147" t="str">
        <f>IFERROR(__xludf.DUMMYFUNCTION("""COMPUTED_VALUE"""),"General")</f>
        <v>General</v>
      </c>
      <c r="F32" s="141" t="str">
        <f>IFERROR(__xludf.DUMMYFUNCTION("""COMPUTED_VALUE"""),"Beginner")</f>
        <v>Beginner</v>
      </c>
      <c r="G32" s="143">
        <f>IFERROR(__xludf.DUMMYFUNCTION("""COMPUTED_VALUE"""),0.01835648148148148)</f>
        <v>0.01835648148</v>
      </c>
      <c r="H32" s="151"/>
      <c r="I32" s="140"/>
      <c r="J32" s="140"/>
      <c r="K32" s="140"/>
      <c r="L32" s="147">
        <f>IFERROR(__xludf.DUMMYFUNCTION("""COMPUTED_VALUE"""),2823252.0)</f>
        <v>2823252</v>
      </c>
      <c r="M32" s="148" t="str">
        <f>IFERROR(__xludf.DUMMYFUNCTION("""COMPUTED_VALUE"""),"Managing Self-Doubt to Tackle Bigger Challenges")</f>
        <v>Managing Self-Doubt to Tackle Bigger Challenges</v>
      </c>
      <c r="N32" s="147" t="str">
        <f>IFERROR(__xludf.DUMMYFUNCTION("""COMPUTED_VALUE"""),"General")</f>
        <v>General</v>
      </c>
      <c r="O32" s="141" t="str">
        <f>IFERROR(__xludf.DUMMYFUNCTION("""COMPUTED_VALUE"""),"Beginner")</f>
        <v>Beginner</v>
      </c>
      <c r="P32" s="143">
        <f>IFERROR(__xludf.DUMMYFUNCTION("""COMPUTED_VALUE"""),0.017719907407407406)</f>
        <v>0.01771990741</v>
      </c>
      <c r="Q32" s="151"/>
      <c r="R32" s="140"/>
      <c r="S32" s="140"/>
    </row>
    <row r="33" ht="33.75" customHeight="1">
      <c r="A33" s="140"/>
      <c r="B33" s="140"/>
      <c r="C33" s="147">
        <f>IFERROR(__xludf.DUMMYFUNCTION("""COMPUTED_VALUE"""),2822312.0)</f>
        <v>2822312</v>
      </c>
      <c r="D33" s="148" t="str">
        <f>IFERROR(__xludf.DUMMYFUNCTION("""COMPUTED_VALUE"""),"Productivity Principles to Make Time for What’s Important")</f>
        <v>Productivity Principles to Make Time for What’s Important</v>
      </c>
      <c r="E33" s="147" t="str">
        <f>IFERROR(__xludf.DUMMYFUNCTION("""COMPUTED_VALUE"""),"General")</f>
        <v>General</v>
      </c>
      <c r="F33" s="141" t="str">
        <f>IFERROR(__xludf.DUMMYFUNCTION("""COMPUTED_VALUE"""),"Beginner")</f>
        <v>Beginner</v>
      </c>
      <c r="G33" s="143">
        <f>IFERROR(__xludf.DUMMYFUNCTION("""COMPUTED_VALUE"""),0.01597222222222222)</f>
        <v>0.01597222222</v>
      </c>
      <c r="H33" s="151"/>
      <c r="I33" s="140"/>
      <c r="J33" s="140"/>
      <c r="K33" s="140"/>
      <c r="L33" s="147">
        <f>IFERROR(__xludf.DUMMYFUNCTION("""COMPUTED_VALUE"""),2885014.0)</f>
        <v>2885014</v>
      </c>
      <c r="M33" s="148" t="str">
        <f>IFERROR(__xludf.DUMMYFUNCTION("""COMPUTED_VALUE"""),"Creating Flow")</f>
        <v>Creating Flow</v>
      </c>
      <c r="N33" s="147" t="str">
        <f>IFERROR(__xludf.DUMMYFUNCTION("""COMPUTED_VALUE"""),"General")</f>
        <v>General</v>
      </c>
      <c r="O33" s="141" t="str">
        <f>IFERROR(__xludf.DUMMYFUNCTION("""COMPUTED_VALUE"""),"Beginner")</f>
        <v>Beginner</v>
      </c>
      <c r="P33" s="143">
        <f>IFERROR(__xludf.DUMMYFUNCTION("""COMPUTED_VALUE"""),0.033900462962962966)</f>
        <v>0.03390046296</v>
      </c>
      <c r="Q33" s="151"/>
      <c r="R33" s="140"/>
      <c r="S33" s="140"/>
    </row>
    <row r="34" ht="33.75" customHeight="1">
      <c r="A34" s="140"/>
      <c r="B34" s="140"/>
      <c r="C34" s="147">
        <f>IFERROR(__xludf.DUMMYFUNCTION("""COMPUTED_VALUE"""),2822639.0)</f>
        <v>2822639</v>
      </c>
      <c r="D34" s="148" t="str">
        <f>IFERROR(__xludf.DUMMYFUNCTION("""COMPUTED_VALUE"""),"Making Big Goals Achievable")</f>
        <v>Making Big Goals Achievable</v>
      </c>
      <c r="E34" s="147" t="str">
        <f>IFERROR(__xludf.DUMMYFUNCTION("""COMPUTED_VALUE"""),"General")</f>
        <v>General</v>
      </c>
      <c r="F34" s="141" t="str">
        <f>IFERROR(__xludf.DUMMYFUNCTION("""COMPUTED_VALUE"""),"Beginner")</f>
        <v>Beginner</v>
      </c>
      <c r="G34" s="143">
        <f>IFERROR(__xludf.DUMMYFUNCTION("""COMPUTED_VALUE"""),0.013657407407407408)</f>
        <v>0.01365740741</v>
      </c>
      <c r="H34" s="151"/>
      <c r="I34" s="140"/>
      <c r="J34" s="140"/>
      <c r="K34" s="140"/>
      <c r="L34" s="147">
        <f>IFERROR(__xludf.DUMMYFUNCTION("""COMPUTED_VALUE"""),2886013.0)</f>
        <v>2886013</v>
      </c>
      <c r="M34" s="148" t="str">
        <f>IFERROR(__xludf.DUMMYFUNCTION("""COMPUTED_VALUE"""),"Staying Organized While Working Remotely or On-Site")</f>
        <v>Staying Organized While Working Remotely or On-Site</v>
      </c>
      <c r="N34" s="147" t="str">
        <f>IFERROR(__xludf.DUMMYFUNCTION("""COMPUTED_VALUE"""),"General")</f>
        <v>General</v>
      </c>
      <c r="O34" s="141" t="str">
        <f>IFERROR(__xludf.DUMMYFUNCTION("""COMPUTED_VALUE"""),"Beginner")</f>
        <v>Beginner</v>
      </c>
      <c r="P34" s="143">
        <f>IFERROR(__xludf.DUMMYFUNCTION("""COMPUTED_VALUE"""),0.02318287037037037)</f>
        <v>0.02318287037</v>
      </c>
      <c r="Q34" s="151"/>
      <c r="R34" s="140"/>
      <c r="S34" s="140"/>
    </row>
    <row r="35" ht="33.75" customHeight="1">
      <c r="A35" s="140"/>
      <c r="B35" s="140"/>
      <c r="C35" s="147">
        <f>IFERROR(__xludf.DUMMYFUNCTION("""COMPUTED_VALUE"""),2815117.0)</f>
        <v>2815117</v>
      </c>
      <c r="D35" s="148" t="str">
        <f>IFERROR(__xludf.DUMMYFUNCTION("""COMPUTED_VALUE"""),"Time Management Tips: Communication")</f>
        <v>Time Management Tips: Communication</v>
      </c>
      <c r="E35" s="147" t="str">
        <f>IFERROR(__xludf.DUMMYFUNCTION("""COMPUTED_VALUE"""),"General")</f>
        <v>General</v>
      </c>
      <c r="F35" s="141" t="str">
        <f>IFERROR(__xludf.DUMMYFUNCTION("""COMPUTED_VALUE"""),"Beginner")</f>
        <v>Beginner</v>
      </c>
      <c r="G35" s="143">
        <f>IFERROR(__xludf.DUMMYFUNCTION("""COMPUTED_VALUE"""),0.0309375)</f>
        <v>0.0309375</v>
      </c>
      <c r="H35" s="151"/>
      <c r="I35" s="140"/>
      <c r="J35" s="140"/>
      <c r="K35" s="140"/>
      <c r="L35" s="147">
        <f>IFERROR(__xludf.DUMMYFUNCTION("""COMPUTED_VALUE"""),2883047.0)</f>
        <v>2883047</v>
      </c>
      <c r="M35" s="148" t="str">
        <f>IFERROR(__xludf.DUMMYFUNCTION("""COMPUTED_VALUE"""),"Creating Success from Failures")</f>
        <v>Creating Success from Failures</v>
      </c>
      <c r="N35" s="147" t="str">
        <f>IFERROR(__xludf.DUMMYFUNCTION("""COMPUTED_VALUE"""),"General")</f>
        <v>General</v>
      </c>
      <c r="O35" s="141" t="str">
        <f>IFERROR(__xludf.DUMMYFUNCTION("""COMPUTED_VALUE"""),"Beginner")</f>
        <v>Beginner</v>
      </c>
      <c r="P35" s="143">
        <f>IFERROR(__xludf.DUMMYFUNCTION("""COMPUTED_VALUE"""),0.030393518518518518)</f>
        <v>0.03039351852</v>
      </c>
      <c r="Q35" s="151"/>
      <c r="R35" s="140"/>
      <c r="S35" s="140"/>
    </row>
    <row r="36" ht="33.75" customHeight="1">
      <c r="A36" s="140"/>
      <c r="B36" s="140"/>
      <c r="C36" s="147">
        <f>IFERROR(__xludf.DUMMYFUNCTION("""COMPUTED_VALUE"""),2822310.0)</f>
        <v>2822310</v>
      </c>
      <c r="D36" s="148" t="str">
        <f>IFERROR(__xludf.DUMMYFUNCTION("""COMPUTED_VALUE"""),"Subtle Shifts in Thinking for Tremendous Resilience")</f>
        <v>Subtle Shifts in Thinking for Tremendous Resilience</v>
      </c>
      <c r="E36" s="147" t="str">
        <f>IFERROR(__xludf.DUMMYFUNCTION("""COMPUTED_VALUE"""),"General")</f>
        <v>General</v>
      </c>
      <c r="F36" s="141" t="str">
        <f>IFERROR(__xludf.DUMMYFUNCTION("""COMPUTED_VALUE"""),"Beginner")</f>
        <v>Beginner</v>
      </c>
      <c r="G36" s="143">
        <f>IFERROR(__xludf.DUMMYFUNCTION("""COMPUTED_VALUE"""),0.018773148148148146)</f>
        <v>0.01877314815</v>
      </c>
      <c r="H36" s="151"/>
      <c r="I36" s="140"/>
      <c r="J36" s="140"/>
      <c r="K36" s="140"/>
      <c r="L36" s="147">
        <f>IFERROR(__xludf.DUMMYFUNCTION("""COMPUTED_VALUE"""),2880190.0)</f>
        <v>2880190</v>
      </c>
      <c r="M36" s="148" t="str">
        <f>IFERROR(__xludf.DUMMYFUNCTION("""COMPUTED_VALUE"""),"Adopting the Habits of Elite Performers")</f>
        <v>Adopting the Habits of Elite Performers</v>
      </c>
      <c r="N36" s="147" t="str">
        <f>IFERROR(__xludf.DUMMYFUNCTION("""COMPUTED_VALUE"""),"General")</f>
        <v>General</v>
      </c>
      <c r="O36" s="141" t="str">
        <f>IFERROR(__xludf.DUMMYFUNCTION("""COMPUTED_VALUE"""),"Beginner")</f>
        <v>Beginner</v>
      </c>
      <c r="P36" s="143">
        <f>IFERROR(__xludf.DUMMYFUNCTION("""COMPUTED_VALUE"""),0.018449074074074073)</f>
        <v>0.01844907407</v>
      </c>
      <c r="Q36" s="151"/>
      <c r="R36" s="140"/>
      <c r="S36" s="140"/>
    </row>
    <row r="37" ht="33.75" customHeight="1">
      <c r="A37" s="140"/>
      <c r="B37" s="140"/>
      <c r="C37" s="147">
        <f>IFERROR(__xludf.DUMMYFUNCTION("""COMPUTED_VALUE"""),2823512.0)</f>
        <v>2823512</v>
      </c>
      <c r="D37" s="148" t="str">
        <f>IFERROR(__xludf.DUMMYFUNCTION("""COMPUTED_VALUE"""),"Productivity: Prioritizing at Work")</f>
        <v>Productivity: Prioritizing at Work</v>
      </c>
      <c r="E37" s="147" t="str">
        <f>IFERROR(__xludf.DUMMYFUNCTION("""COMPUTED_VALUE"""),"General")</f>
        <v>General</v>
      </c>
      <c r="F37" s="141" t="str">
        <f>IFERROR(__xludf.DUMMYFUNCTION("""COMPUTED_VALUE"""),"Beginner")</f>
        <v>Beginner</v>
      </c>
      <c r="G37" s="143">
        <f>IFERROR(__xludf.DUMMYFUNCTION("""COMPUTED_VALUE"""),0.03369212962962963)</f>
        <v>0.03369212963</v>
      </c>
      <c r="H37" s="151"/>
      <c r="I37" s="140"/>
      <c r="J37" s="140"/>
      <c r="K37" s="140"/>
      <c r="L37" s="147">
        <f>IFERROR(__xludf.DUMMYFUNCTION("""COMPUTED_VALUE"""),2424324.0)</f>
        <v>2424324</v>
      </c>
      <c r="M37" s="148" t="str">
        <f>IFERROR(__xludf.DUMMYFUNCTION("""COMPUTED_VALUE"""),"How to Use Rejection to Your Advantage")</f>
        <v>How to Use Rejection to Your Advantage</v>
      </c>
      <c r="N37" s="147" t="str">
        <f>IFERROR(__xludf.DUMMYFUNCTION("""COMPUTED_VALUE"""),"General")</f>
        <v>General</v>
      </c>
      <c r="O37" s="141" t="str">
        <f>IFERROR(__xludf.DUMMYFUNCTION("""COMPUTED_VALUE"""),"Beginner")</f>
        <v>Beginner</v>
      </c>
      <c r="P37" s="143">
        <f>IFERROR(__xludf.DUMMYFUNCTION("""COMPUTED_VALUE"""),0.005439814814814815)</f>
        <v>0.005439814815</v>
      </c>
      <c r="Q37" s="151"/>
      <c r="R37" s="140"/>
      <c r="S37" s="140"/>
    </row>
    <row r="38" ht="33.75" customHeight="1">
      <c r="A38" s="140"/>
      <c r="B38" s="140"/>
      <c r="C38" s="147">
        <f>IFERROR(__xludf.DUMMYFUNCTION("""COMPUTED_VALUE"""),2823289.0)</f>
        <v>2823289</v>
      </c>
      <c r="D38" s="148" t="str">
        <f>IFERROR(__xludf.DUMMYFUNCTION("""COMPUTED_VALUE"""),"Creating Lasting Habits")</f>
        <v>Creating Lasting Habits</v>
      </c>
      <c r="E38" s="147" t="str">
        <f>IFERROR(__xludf.DUMMYFUNCTION("""COMPUTED_VALUE"""),"General")</f>
        <v>General</v>
      </c>
      <c r="F38" s="141" t="str">
        <f>IFERROR(__xludf.DUMMYFUNCTION("""COMPUTED_VALUE"""),"Beginner")</f>
        <v>Beginner</v>
      </c>
      <c r="G38" s="143">
        <f>IFERROR(__xludf.DUMMYFUNCTION("""COMPUTED_VALUE"""),0.01678240740740741)</f>
        <v>0.01678240741</v>
      </c>
      <c r="H38" s="151"/>
      <c r="I38" s="140"/>
      <c r="J38" s="140"/>
      <c r="K38" s="140"/>
      <c r="L38" s="147">
        <f>IFERROR(__xludf.DUMMYFUNCTION("""COMPUTED_VALUE"""),2423652.0)</f>
        <v>2423652</v>
      </c>
      <c r="M38" s="148" t="str">
        <f>IFERROR(__xludf.DUMMYFUNCTION("""COMPUTED_VALUE"""),"Simple Habits for Complex Times (getAbstract Summary)")</f>
        <v>Simple Habits for Complex Times (getAbstract Summary)</v>
      </c>
      <c r="N38" s="147" t="str">
        <f>IFERROR(__xludf.DUMMYFUNCTION("""COMPUTED_VALUE"""),"General")</f>
        <v>General</v>
      </c>
      <c r="O38" s="141" t="str">
        <f>IFERROR(__xludf.DUMMYFUNCTION("""COMPUTED_VALUE"""),"Beginner")</f>
        <v>Beginner</v>
      </c>
      <c r="P38" s="143">
        <f>IFERROR(__xludf.DUMMYFUNCTION("""COMPUTED_VALUE"""),0.010185185185185186)</f>
        <v>0.01018518519</v>
      </c>
      <c r="Q38" s="151"/>
      <c r="R38" s="140"/>
      <c r="S38" s="140"/>
    </row>
    <row r="39" ht="33.75" customHeight="1">
      <c r="A39" s="140"/>
      <c r="B39" s="140"/>
      <c r="C39" s="147">
        <f>IFERROR(__xludf.DUMMYFUNCTION("""COMPUTED_VALUE"""),2839044.0)</f>
        <v>2839044</v>
      </c>
      <c r="D39" s="148" t="str">
        <f>IFERROR(__xludf.DUMMYFUNCTION("""COMPUTED_VALUE"""),"How to Effectively Deliver Criticism")</f>
        <v>How to Effectively Deliver Criticism</v>
      </c>
      <c r="E39" s="147" t="str">
        <f>IFERROR(__xludf.DUMMYFUNCTION("""COMPUTED_VALUE"""),"General")</f>
        <v>General</v>
      </c>
      <c r="F39" s="141" t="str">
        <f>IFERROR(__xludf.DUMMYFUNCTION("""COMPUTED_VALUE"""),"Beginner")</f>
        <v>Beginner</v>
      </c>
      <c r="G39" s="143">
        <f>IFERROR(__xludf.DUMMYFUNCTION("""COMPUTED_VALUE"""),0.00931712962962963)</f>
        <v>0.00931712963</v>
      </c>
      <c r="H39" s="151"/>
      <c r="I39" s="140"/>
      <c r="J39" s="140"/>
      <c r="K39" s="140"/>
      <c r="L39" s="147">
        <f>IFERROR(__xludf.DUMMYFUNCTION("""COMPUTED_VALUE"""),3007571.0)</f>
        <v>3007571</v>
      </c>
      <c r="M39" s="148" t="str">
        <f>IFERROR(__xludf.DUMMYFUNCTION("""COMPUTED_VALUE"""),"Using Resilience to Overcome the (Seemingly) Impossible")</f>
        <v>Using Resilience to Overcome the (Seemingly) Impossible</v>
      </c>
      <c r="N39" s="147" t="str">
        <f>IFERROR(__xludf.DUMMYFUNCTION("""COMPUTED_VALUE"""),"General")</f>
        <v>General</v>
      </c>
      <c r="O39" s="141" t="str">
        <f>IFERROR(__xludf.DUMMYFUNCTION("""COMPUTED_VALUE"""),"Beginner")</f>
        <v>Beginner</v>
      </c>
      <c r="P39" s="143">
        <f>IFERROR(__xludf.DUMMYFUNCTION("""COMPUTED_VALUE"""),0.05309027777777778)</f>
        <v>0.05309027778</v>
      </c>
      <c r="Q39" s="151"/>
      <c r="R39" s="140"/>
      <c r="S39" s="140"/>
    </row>
    <row r="40" ht="33.75" customHeight="1">
      <c r="A40" s="140"/>
      <c r="B40" s="140"/>
      <c r="C40" s="147">
        <f>IFERROR(__xludf.DUMMYFUNCTION("""COMPUTED_VALUE"""),2870084.0)</f>
        <v>2870084</v>
      </c>
      <c r="D40" s="148" t="str">
        <f>IFERROR(__xludf.DUMMYFUNCTION("""COMPUTED_VALUE"""),"Dealing with Disappointment in Your Role")</f>
        <v>Dealing with Disappointment in Your Role</v>
      </c>
      <c r="E40" s="147" t="str">
        <f>IFERROR(__xludf.DUMMYFUNCTION("""COMPUTED_VALUE"""),"General")</f>
        <v>General</v>
      </c>
      <c r="F40" s="141" t="str">
        <f>IFERROR(__xludf.DUMMYFUNCTION("""COMPUTED_VALUE"""),"Beginner")</f>
        <v>Beginner</v>
      </c>
      <c r="G40" s="143">
        <f>IFERROR(__xludf.DUMMYFUNCTION("""COMPUTED_VALUE"""),0.01681712962962963)</f>
        <v>0.01681712963</v>
      </c>
      <c r="H40" s="151"/>
      <c r="I40" s="140"/>
      <c r="J40" s="140"/>
      <c r="K40" s="140"/>
      <c r="L40" s="147">
        <f>IFERROR(__xludf.DUMMYFUNCTION("""COMPUTED_VALUE"""),3010972.0)</f>
        <v>3010972</v>
      </c>
      <c r="M40" s="148" t="str">
        <f>IFERROR(__xludf.DUMMYFUNCTION("""COMPUTED_VALUE"""),"Conquering Freak-Outs and the Fear of Failure")</f>
        <v>Conquering Freak-Outs and the Fear of Failure</v>
      </c>
      <c r="N40" s="147" t="str">
        <f>IFERROR(__xludf.DUMMYFUNCTION("""COMPUTED_VALUE"""),"General")</f>
        <v>General</v>
      </c>
      <c r="O40" s="141" t="str">
        <f>IFERROR(__xludf.DUMMYFUNCTION("""COMPUTED_VALUE"""),"Beginner")</f>
        <v>Beginner</v>
      </c>
      <c r="P40" s="143">
        <f>IFERROR(__xludf.DUMMYFUNCTION("""COMPUTED_VALUE"""),0.012523148148148148)</f>
        <v>0.01252314815</v>
      </c>
      <c r="Q40" s="151"/>
      <c r="R40" s="140"/>
      <c r="S40" s="140"/>
    </row>
    <row r="41" ht="33.75" customHeight="1">
      <c r="A41" s="140"/>
      <c r="B41" s="140"/>
      <c r="C41" s="147">
        <f>IFERROR(__xludf.DUMMYFUNCTION("""COMPUTED_VALUE"""),2366891.0)</f>
        <v>2366891</v>
      </c>
      <c r="D41" s="148" t="str">
        <f>IFERROR(__xludf.DUMMYFUNCTION("""COMPUTED_VALUE"""),"Unlocking Your Potential")</f>
        <v>Unlocking Your Potential</v>
      </c>
      <c r="E41" s="147" t="str">
        <f>IFERROR(__xludf.DUMMYFUNCTION("""COMPUTED_VALUE"""),"General")</f>
        <v>General</v>
      </c>
      <c r="F41" s="141" t="str">
        <f>IFERROR(__xludf.DUMMYFUNCTION("""COMPUTED_VALUE"""),"Beginner")</f>
        <v>Beginner</v>
      </c>
      <c r="G41" s="143">
        <f>IFERROR(__xludf.DUMMYFUNCTION("""COMPUTED_VALUE"""),0.03128472222222222)</f>
        <v>0.03128472222</v>
      </c>
      <c r="H41" s="151"/>
      <c r="I41" s="140"/>
      <c r="J41" s="140"/>
      <c r="K41" s="140"/>
      <c r="L41" s="147">
        <f>IFERROR(__xludf.DUMMYFUNCTION("""COMPUTED_VALUE"""),2448227.0)</f>
        <v>2448227</v>
      </c>
      <c r="M41" s="148" t="str">
        <f>IFERROR(__xludf.DUMMYFUNCTION("""COMPUTED_VALUE"""),"Harnessing Change to Unleash Your Potential")</f>
        <v>Harnessing Change to Unleash Your Potential</v>
      </c>
      <c r="N41" s="147" t="str">
        <f>IFERROR(__xludf.DUMMYFUNCTION("""COMPUTED_VALUE"""),"General")</f>
        <v>General</v>
      </c>
      <c r="O41" s="141" t="str">
        <f>IFERROR(__xludf.DUMMYFUNCTION("""COMPUTED_VALUE"""),"Beginner")</f>
        <v>Beginner</v>
      </c>
      <c r="P41" s="143">
        <f>IFERROR(__xludf.DUMMYFUNCTION("""COMPUTED_VALUE"""),0.03238425925925926)</f>
        <v>0.03238425926</v>
      </c>
      <c r="Q41" s="151"/>
      <c r="R41" s="140"/>
      <c r="S41" s="140"/>
    </row>
    <row r="42" ht="33.75" customHeight="1">
      <c r="A42" s="140"/>
      <c r="B42" s="140"/>
      <c r="C42" s="147">
        <f>IFERROR(__xludf.DUMMYFUNCTION("""COMPUTED_VALUE"""),2873068.0)</f>
        <v>2873068</v>
      </c>
      <c r="D42" s="148" t="str">
        <f>IFERROR(__xludf.DUMMYFUNCTION("""COMPUTED_VALUE"""),"Prioritizing Tasks for Maximum Impact")</f>
        <v>Prioritizing Tasks for Maximum Impact</v>
      </c>
      <c r="E42" s="147" t="str">
        <f>IFERROR(__xludf.DUMMYFUNCTION("""COMPUTED_VALUE"""),"General")</f>
        <v>General</v>
      </c>
      <c r="F42" s="141" t="str">
        <f>IFERROR(__xludf.DUMMYFUNCTION("""COMPUTED_VALUE"""),"Beginner")</f>
        <v>Beginner</v>
      </c>
      <c r="G42" s="143">
        <f>IFERROR(__xludf.DUMMYFUNCTION("""COMPUTED_VALUE"""),0.013159722222222222)</f>
        <v>0.01315972222</v>
      </c>
      <c r="H42" s="151"/>
      <c r="I42" s="140"/>
      <c r="J42" s="140"/>
      <c r="K42" s="140"/>
      <c r="L42" s="147">
        <f>IFERROR(__xludf.DUMMYFUNCTION("""COMPUTED_VALUE"""),2449236.0)</f>
        <v>2449236</v>
      </c>
      <c r="M42" s="148" t="str">
        <f>IFERROR(__xludf.DUMMYFUNCTION("""COMPUTED_VALUE"""),"Embracing Times of Uncertainty")</f>
        <v>Embracing Times of Uncertainty</v>
      </c>
      <c r="N42" s="147" t="str">
        <f>IFERROR(__xludf.DUMMYFUNCTION("""COMPUTED_VALUE"""),"General")</f>
        <v>General</v>
      </c>
      <c r="O42" s="141" t="str">
        <f>IFERROR(__xludf.DUMMYFUNCTION("""COMPUTED_VALUE"""),"Beginner")</f>
        <v>Beginner</v>
      </c>
      <c r="P42" s="143">
        <f>IFERROR(__xludf.DUMMYFUNCTION("""COMPUTED_VALUE"""),0.9840277777777777)</f>
        <v>0.9840277778</v>
      </c>
      <c r="Q42" s="151"/>
      <c r="R42" s="140"/>
      <c r="S42" s="140"/>
    </row>
    <row r="43" ht="33.75" customHeight="1">
      <c r="A43" s="140"/>
      <c r="B43" s="140"/>
      <c r="C43" s="147">
        <f>IFERROR(__xludf.DUMMYFUNCTION("""COMPUTED_VALUE"""),2874006.0)</f>
        <v>2874006</v>
      </c>
      <c r="D43" s="148" t="str">
        <f>IFERROR(__xludf.DUMMYFUNCTION("""COMPUTED_VALUE"""),"The Five Conversations That Deliver Accountability and Performance")</f>
        <v>The Five Conversations That Deliver Accountability and Performance</v>
      </c>
      <c r="E43" s="147" t="str">
        <f>IFERROR(__xludf.DUMMYFUNCTION("""COMPUTED_VALUE"""),"General")</f>
        <v>General</v>
      </c>
      <c r="F43" s="141" t="str">
        <f>IFERROR(__xludf.DUMMYFUNCTION("""COMPUTED_VALUE"""),"Beginner")</f>
        <v>Beginner</v>
      </c>
      <c r="G43" s="143">
        <f>IFERROR(__xludf.DUMMYFUNCTION("""COMPUTED_VALUE"""),0.018055555555555554)</f>
        <v>0.01805555556</v>
      </c>
      <c r="H43" s="151"/>
      <c r="I43" s="140"/>
      <c r="J43" s="140"/>
      <c r="K43" s="140"/>
      <c r="L43" s="147">
        <f>IFERROR(__xludf.DUMMYFUNCTION("""COMPUTED_VALUE"""),2835068.0)</f>
        <v>2835068</v>
      </c>
      <c r="M43" s="148" t="str">
        <f>IFERROR(__xludf.DUMMYFUNCTION("""COMPUTED_VALUE"""),"Preparing to Lead: Developing Mental Toughness in Yourself")</f>
        <v>Preparing to Lead: Developing Mental Toughness in Yourself</v>
      </c>
      <c r="N43" s="147" t="str">
        <f>IFERROR(__xludf.DUMMYFUNCTION("""COMPUTED_VALUE"""),"General")</f>
        <v>General</v>
      </c>
      <c r="O43" s="141" t="str">
        <f>IFERROR(__xludf.DUMMYFUNCTION("""COMPUTED_VALUE"""),"Beginner + Intermediate")</f>
        <v>Beginner + Intermediate</v>
      </c>
      <c r="P43" s="143">
        <f>IFERROR(__xludf.DUMMYFUNCTION("""COMPUTED_VALUE"""),0.022569444444444444)</f>
        <v>0.02256944444</v>
      </c>
      <c r="Q43" s="151"/>
      <c r="R43" s="140"/>
      <c r="S43" s="140"/>
    </row>
    <row r="44" ht="33.75" customHeight="1">
      <c r="A44" s="140"/>
      <c r="B44" s="140"/>
      <c r="C44" s="147">
        <f>IFERROR(__xludf.DUMMYFUNCTION("""COMPUTED_VALUE"""),2875042.0)</f>
        <v>2875042</v>
      </c>
      <c r="D44" s="148" t="str">
        <f>IFERROR(__xludf.DUMMYFUNCTION("""COMPUTED_VALUE"""),"Time Management for Busy People")</f>
        <v>Time Management for Busy People</v>
      </c>
      <c r="E44" s="147" t="str">
        <f>IFERROR(__xludf.DUMMYFUNCTION("""COMPUTED_VALUE"""),"General")</f>
        <v>General</v>
      </c>
      <c r="F44" s="141" t="str">
        <f>IFERROR(__xludf.DUMMYFUNCTION("""COMPUTED_VALUE"""),"Beginner")</f>
        <v>Beginner</v>
      </c>
      <c r="G44" s="143">
        <f>IFERROR(__xludf.DUMMYFUNCTION("""COMPUTED_VALUE"""),0.03532407407407408)</f>
        <v>0.03532407407</v>
      </c>
      <c r="H44" s="151"/>
      <c r="I44" s="140"/>
      <c r="J44" s="140"/>
      <c r="K44" s="140"/>
      <c r="L44" s="147">
        <f>IFERROR(__xludf.DUMMYFUNCTION("""COMPUTED_VALUE"""),659269.0)</f>
        <v>659269</v>
      </c>
      <c r="M44" s="148" t="str">
        <f>IFERROR(__xludf.DUMMYFUNCTION("""COMPUTED_VALUE"""),"Managing Stress for Positive Change")</f>
        <v>Managing Stress for Positive Change</v>
      </c>
      <c r="N44" s="147" t="str">
        <f>IFERROR(__xludf.DUMMYFUNCTION("""COMPUTED_VALUE"""),"General")</f>
        <v>General</v>
      </c>
      <c r="O44" s="141" t="str">
        <f>IFERROR(__xludf.DUMMYFUNCTION("""COMPUTED_VALUE"""),"Beginner + Intermediate")</f>
        <v>Beginner + Intermediate</v>
      </c>
      <c r="P44" s="143">
        <f>IFERROR(__xludf.DUMMYFUNCTION("""COMPUTED_VALUE"""),0.04026620370370371)</f>
        <v>0.0402662037</v>
      </c>
      <c r="Q44" s="151"/>
      <c r="R44" s="140"/>
      <c r="S44" s="140"/>
    </row>
    <row r="45" ht="33.75" customHeight="1">
      <c r="A45" s="140"/>
      <c r="B45" s="140"/>
      <c r="C45" s="147">
        <f>IFERROR(__xludf.DUMMYFUNCTION("""COMPUTED_VALUE"""),2875043.0)</f>
        <v>2875043</v>
      </c>
      <c r="D45" s="148" t="str">
        <f>IFERROR(__xludf.DUMMYFUNCTION("""COMPUTED_VALUE"""),"How to Organize Your Time and Your Life")</f>
        <v>How to Organize Your Time and Your Life</v>
      </c>
      <c r="E45" s="147" t="str">
        <f>IFERROR(__xludf.DUMMYFUNCTION("""COMPUTED_VALUE"""),"General")</f>
        <v>General</v>
      </c>
      <c r="F45" s="141" t="str">
        <f>IFERROR(__xludf.DUMMYFUNCTION("""COMPUTED_VALUE"""),"Beginner")</f>
        <v>Beginner</v>
      </c>
      <c r="G45" s="143">
        <f>IFERROR(__xludf.DUMMYFUNCTION("""COMPUTED_VALUE"""),0.016747685185185185)</f>
        <v>0.01674768519</v>
      </c>
      <c r="H45" s="151"/>
      <c r="I45" s="140"/>
      <c r="J45" s="140"/>
      <c r="K45" s="140"/>
      <c r="L45" s="147">
        <f>IFERROR(__xludf.DUMMYFUNCTION("""COMPUTED_VALUE"""),170777.0)</f>
        <v>170777</v>
      </c>
      <c r="M45" s="148" t="str">
        <f>IFERROR(__xludf.DUMMYFUNCTION("""COMPUTED_VALUE"""),"Building Resilience")</f>
        <v>Building Resilience</v>
      </c>
      <c r="N45" s="147" t="str">
        <f>IFERROR(__xludf.DUMMYFUNCTION("""COMPUTED_VALUE"""),"General")</f>
        <v>General</v>
      </c>
      <c r="O45" s="141" t="str">
        <f>IFERROR(__xludf.DUMMYFUNCTION("""COMPUTED_VALUE"""),"General")</f>
        <v>General</v>
      </c>
      <c r="P45" s="143">
        <f>IFERROR(__xludf.DUMMYFUNCTION("""COMPUTED_VALUE"""),0.023900462962962964)</f>
        <v>0.02390046296</v>
      </c>
      <c r="Q45" s="151"/>
      <c r="R45" s="140"/>
      <c r="S45" s="140"/>
    </row>
    <row r="46" ht="33.75" customHeight="1">
      <c r="A46" s="140"/>
      <c r="B46" s="140"/>
      <c r="C46" s="147">
        <f>IFERROR(__xludf.DUMMYFUNCTION("""COMPUTED_VALUE"""),2822030.0)</f>
        <v>2822030</v>
      </c>
      <c r="D46" s="148" t="str">
        <f>IFERROR(__xludf.DUMMYFUNCTION("""COMPUTED_VALUE"""),"Components of Effective Learning")</f>
        <v>Components of Effective Learning</v>
      </c>
      <c r="E46" s="147" t="str">
        <f>IFERROR(__xludf.DUMMYFUNCTION("""COMPUTED_VALUE"""),"General")</f>
        <v>General</v>
      </c>
      <c r="F46" s="141" t="str">
        <f>IFERROR(__xludf.DUMMYFUNCTION("""COMPUTED_VALUE"""),"Beginner")</f>
        <v>Beginner</v>
      </c>
      <c r="G46" s="143">
        <f>IFERROR(__xludf.DUMMYFUNCTION("""COMPUTED_VALUE"""),0.036099537037037034)</f>
        <v>0.03609953704</v>
      </c>
      <c r="H46" s="151"/>
      <c r="I46" s="140"/>
      <c r="J46" s="140"/>
      <c r="K46" s="140"/>
      <c r="L46" s="147">
        <f>IFERROR(__xludf.DUMMYFUNCTION("""COMPUTED_VALUE"""),363225.0)</f>
        <v>363225</v>
      </c>
      <c r="M46" s="148" t="str">
        <f>IFERROR(__xludf.DUMMYFUNCTION("""COMPUTED_VALUE"""),"Learning from Failure")</f>
        <v>Learning from Failure</v>
      </c>
      <c r="N46" s="147" t="str">
        <f>IFERROR(__xludf.DUMMYFUNCTION("""COMPUTED_VALUE"""),"General")</f>
        <v>General</v>
      </c>
      <c r="O46" s="141" t="str">
        <f>IFERROR(__xludf.DUMMYFUNCTION("""COMPUTED_VALUE"""),"General")</f>
        <v>General</v>
      </c>
      <c r="P46" s="143">
        <f>IFERROR(__xludf.DUMMYFUNCTION("""COMPUTED_VALUE"""),0.018078703703703704)</f>
        <v>0.0180787037</v>
      </c>
      <c r="Q46" s="151"/>
      <c r="R46" s="140"/>
      <c r="S46" s="140"/>
    </row>
    <row r="47" ht="33.75" customHeight="1">
      <c r="A47" s="140"/>
      <c r="B47" s="140"/>
      <c r="C47" s="147">
        <f>IFERROR(__xludf.DUMMYFUNCTION("""COMPUTED_VALUE"""),2885172.0)</f>
        <v>2885172</v>
      </c>
      <c r="D47" s="148" t="str">
        <f>IFERROR(__xludf.DUMMYFUNCTION("""COMPUTED_VALUE"""),"Powerful Prioritization with the 80/20 Rule")</f>
        <v>Powerful Prioritization with the 80/20 Rule</v>
      </c>
      <c r="E47" s="147" t="str">
        <f>IFERROR(__xludf.DUMMYFUNCTION("""COMPUTED_VALUE"""),"General")</f>
        <v>General</v>
      </c>
      <c r="F47" s="141" t="str">
        <f>IFERROR(__xludf.DUMMYFUNCTION("""COMPUTED_VALUE"""),"Beginner")</f>
        <v>Beginner</v>
      </c>
      <c r="G47" s="143">
        <f>IFERROR(__xludf.DUMMYFUNCTION("""COMPUTED_VALUE"""),0.019965277777777776)</f>
        <v>0.01996527778</v>
      </c>
      <c r="H47" s="151"/>
      <c r="I47" s="140"/>
      <c r="J47" s="140"/>
      <c r="K47" s="140"/>
      <c r="L47" s="147">
        <f>IFERROR(__xludf.DUMMYFUNCTION("""COMPUTED_VALUE"""),718618.0)</f>
        <v>718618</v>
      </c>
      <c r="M47" s="148" t="str">
        <f>IFERROR(__xludf.DUMMYFUNCTION("""COMPUTED_VALUE"""),"Enhancing Resilience")</f>
        <v>Enhancing Resilience</v>
      </c>
      <c r="N47" s="147" t="str">
        <f>IFERROR(__xludf.DUMMYFUNCTION("""COMPUTED_VALUE"""),"General")</f>
        <v>General</v>
      </c>
      <c r="O47" s="141" t="str">
        <f>IFERROR(__xludf.DUMMYFUNCTION("""COMPUTED_VALUE"""),"General")</f>
        <v>General</v>
      </c>
      <c r="P47" s="143">
        <f>IFERROR(__xludf.DUMMYFUNCTION("""COMPUTED_VALUE"""),0.03596064814814815)</f>
        <v>0.03596064815</v>
      </c>
      <c r="Q47" s="151"/>
      <c r="R47" s="140"/>
      <c r="S47" s="140"/>
    </row>
    <row r="48" ht="33.75" customHeight="1">
      <c r="A48" s="140"/>
      <c r="B48" s="140"/>
      <c r="C48" s="147">
        <f>IFERROR(__xludf.DUMMYFUNCTION("""COMPUTED_VALUE"""),2895112.0)</f>
        <v>2895112</v>
      </c>
      <c r="D48" s="148" t="str">
        <f>IFERROR(__xludf.DUMMYFUNCTION("""COMPUTED_VALUE"""),"Overcoming Perfectionism")</f>
        <v>Overcoming Perfectionism</v>
      </c>
      <c r="E48" s="147" t="str">
        <f>IFERROR(__xludf.DUMMYFUNCTION("""COMPUTED_VALUE"""),"General")</f>
        <v>General</v>
      </c>
      <c r="F48" s="141" t="str">
        <f>IFERROR(__xludf.DUMMYFUNCTION("""COMPUTED_VALUE"""),"Beginner")</f>
        <v>Beginner</v>
      </c>
      <c r="G48" s="143">
        <f>IFERROR(__xludf.DUMMYFUNCTION("""COMPUTED_VALUE"""),0.036284722222222225)</f>
        <v>0.03628472222</v>
      </c>
      <c r="H48" s="151"/>
      <c r="I48" s="140"/>
      <c r="J48" s="140"/>
      <c r="K48" s="140"/>
      <c r="L48" s="147">
        <f>IFERROR(__xludf.DUMMYFUNCTION("""COMPUTED_VALUE"""),718628.0)</f>
        <v>718628</v>
      </c>
      <c r="M48" s="148" t="str">
        <f>IFERROR(__xludf.DUMMYFUNCTION("""COMPUTED_VALUE"""),"Cultivating a Growth Mindset")</f>
        <v>Cultivating a Growth Mindset</v>
      </c>
      <c r="N48" s="147" t="str">
        <f>IFERROR(__xludf.DUMMYFUNCTION("""COMPUTED_VALUE"""),"General")</f>
        <v>General</v>
      </c>
      <c r="O48" s="141" t="str">
        <f>IFERROR(__xludf.DUMMYFUNCTION("""COMPUTED_VALUE"""),"General")</f>
        <v>General</v>
      </c>
      <c r="P48" s="143">
        <f>IFERROR(__xludf.DUMMYFUNCTION("""COMPUTED_VALUE"""),0.0409375)</f>
        <v>0.0409375</v>
      </c>
      <c r="Q48" s="151"/>
      <c r="R48" s="140"/>
      <c r="S48" s="140"/>
    </row>
    <row r="49" ht="33.75" customHeight="1">
      <c r="A49" s="140"/>
      <c r="B49" s="140"/>
      <c r="C49" s="147">
        <f>IFERROR(__xludf.DUMMYFUNCTION("""COMPUTED_VALUE"""),2895003.0)</f>
        <v>2895003</v>
      </c>
      <c r="D49" s="148" t="str">
        <f>IFERROR(__xludf.DUMMYFUNCTION("""COMPUTED_VALUE"""),"How to Get Things Done Ahead of Deadlines")</f>
        <v>How to Get Things Done Ahead of Deadlines</v>
      </c>
      <c r="E49" s="147" t="str">
        <f>IFERROR(__xludf.DUMMYFUNCTION("""COMPUTED_VALUE"""),"General")</f>
        <v>General</v>
      </c>
      <c r="F49" s="141" t="str">
        <f>IFERROR(__xludf.DUMMYFUNCTION("""COMPUTED_VALUE"""),"Beginner")</f>
        <v>Beginner</v>
      </c>
      <c r="G49" s="143">
        <f>IFERROR(__xludf.DUMMYFUNCTION("""COMPUTED_VALUE"""),0.04170138888888889)</f>
        <v>0.04170138889</v>
      </c>
      <c r="H49" s="151"/>
      <c r="I49" s="140"/>
      <c r="J49" s="140"/>
      <c r="K49" s="140"/>
      <c r="L49" s="147">
        <f>IFERROR(__xludf.DUMMYFUNCTION("""COMPUTED_VALUE"""),777381.0)</f>
        <v>777381</v>
      </c>
      <c r="M49" s="148" t="str">
        <f>IFERROR(__xludf.DUMMYFUNCTION("""COMPUTED_VALUE"""),"Delivering Results Effectively")</f>
        <v>Delivering Results Effectively</v>
      </c>
      <c r="N49" s="147" t="str">
        <f>IFERROR(__xludf.DUMMYFUNCTION("""COMPUTED_VALUE"""),"General")</f>
        <v>General</v>
      </c>
      <c r="O49" s="141" t="str">
        <f>IFERROR(__xludf.DUMMYFUNCTION("""COMPUTED_VALUE"""),"General")</f>
        <v>General</v>
      </c>
      <c r="P49" s="143">
        <f>IFERROR(__xludf.DUMMYFUNCTION("""COMPUTED_VALUE"""),0.03805555555555556)</f>
        <v>0.03805555556</v>
      </c>
      <c r="Q49" s="151"/>
      <c r="R49" s="140"/>
      <c r="S49" s="140"/>
    </row>
    <row r="50" ht="33.75" customHeight="1">
      <c r="A50" s="140"/>
      <c r="B50" s="140"/>
      <c r="C50" s="147">
        <f>IFERROR(__xludf.DUMMYFUNCTION("""COMPUTED_VALUE"""),2425283.0)</f>
        <v>2425283</v>
      </c>
      <c r="D50" s="148" t="str">
        <f>IFERROR(__xludf.DUMMYFUNCTION("""COMPUTED_VALUE"""),"The Surprising Upside of Procrastination")</f>
        <v>The Surprising Upside of Procrastination</v>
      </c>
      <c r="E50" s="147" t="str">
        <f>IFERROR(__xludf.DUMMYFUNCTION("""COMPUTED_VALUE"""),"General")</f>
        <v>General</v>
      </c>
      <c r="F50" s="141" t="str">
        <f>IFERROR(__xludf.DUMMYFUNCTION("""COMPUTED_VALUE"""),"Beginner")</f>
        <v>Beginner</v>
      </c>
      <c r="G50" s="143">
        <f>IFERROR(__xludf.DUMMYFUNCTION("""COMPUTED_VALUE"""),0.005625)</f>
        <v>0.005625</v>
      </c>
      <c r="H50" s="151"/>
      <c r="I50" s="140"/>
      <c r="J50" s="140"/>
      <c r="K50" s="140"/>
      <c r="L50" s="147">
        <f>IFERROR(__xludf.DUMMYFUNCTION("""COMPUTED_VALUE"""),5015862.0)</f>
        <v>5015862</v>
      </c>
      <c r="M50" s="148" t="str">
        <f>IFERROR(__xludf.DUMMYFUNCTION("""COMPUTED_VALUE"""),"Embracing Unexpected Change")</f>
        <v>Embracing Unexpected Change</v>
      </c>
      <c r="N50" s="147" t="str">
        <f>IFERROR(__xludf.DUMMYFUNCTION("""COMPUTED_VALUE"""),"General")</f>
        <v>General</v>
      </c>
      <c r="O50" s="141" t="str">
        <f>IFERROR(__xludf.DUMMYFUNCTION("""COMPUTED_VALUE"""),"General")</f>
        <v>General</v>
      </c>
      <c r="P50" s="143">
        <f>IFERROR(__xludf.DUMMYFUNCTION("""COMPUTED_VALUE"""),0.009872685185185186)</f>
        <v>0.009872685185</v>
      </c>
      <c r="Q50" s="151"/>
      <c r="R50" s="140"/>
      <c r="S50" s="140"/>
    </row>
    <row r="51" ht="33.75" customHeight="1">
      <c r="A51" s="140"/>
      <c r="B51" s="140"/>
      <c r="C51" s="147">
        <f>IFERROR(__xludf.DUMMYFUNCTION("""COMPUTED_VALUE"""),3004703.0)</f>
        <v>3004703</v>
      </c>
      <c r="D51" s="148" t="str">
        <f>IFERROR(__xludf.DUMMYFUNCTION("""COMPUTED_VALUE"""),"Secrets of Effective Prioritization")</f>
        <v>Secrets of Effective Prioritization</v>
      </c>
      <c r="E51" s="147" t="str">
        <f>IFERROR(__xludf.DUMMYFUNCTION("""COMPUTED_VALUE"""),"General")</f>
        <v>General</v>
      </c>
      <c r="F51" s="141" t="str">
        <f>IFERROR(__xludf.DUMMYFUNCTION("""COMPUTED_VALUE"""),"Beginner")</f>
        <v>Beginner</v>
      </c>
      <c r="G51" s="143">
        <f>IFERROR(__xludf.DUMMYFUNCTION("""COMPUTED_VALUE"""),0.023310185185185184)</f>
        <v>0.02331018519</v>
      </c>
      <c r="H51" s="151"/>
      <c r="I51" s="140"/>
      <c r="J51" s="140"/>
      <c r="K51" s="140"/>
      <c r="L51" s="147">
        <f>IFERROR(__xludf.DUMMYFUNCTION("""COMPUTED_VALUE"""),387349.0)</f>
        <v>387349</v>
      </c>
      <c r="M51" s="148" t="str">
        <f>IFERROR(__xludf.DUMMYFUNCTION("""COMPUTED_VALUE"""),"Powerless to Powerful: Taking Control")</f>
        <v>Powerless to Powerful: Taking Control</v>
      </c>
      <c r="N51" s="147" t="str">
        <f>IFERROR(__xludf.DUMMYFUNCTION("""COMPUTED_VALUE"""),"General")</f>
        <v>General</v>
      </c>
      <c r="O51" s="141" t="str">
        <f>IFERROR(__xludf.DUMMYFUNCTION("""COMPUTED_VALUE"""),"General")</f>
        <v>General</v>
      </c>
      <c r="P51" s="143">
        <f>IFERROR(__xludf.DUMMYFUNCTION("""COMPUTED_VALUE"""),0.033796296296296297)</f>
        <v>0.0337962963</v>
      </c>
      <c r="Q51" s="151"/>
      <c r="R51" s="140"/>
      <c r="S51" s="140"/>
    </row>
    <row r="52" ht="33.75" customHeight="1">
      <c r="A52" s="140"/>
      <c r="B52" s="140"/>
      <c r="C52" s="147">
        <f>IFERROR(__xludf.DUMMYFUNCTION("""COMPUTED_VALUE"""),3004947.0)</f>
        <v>3004947</v>
      </c>
      <c r="D52" s="148" t="str">
        <f>IFERROR(__xludf.DUMMYFUNCTION("""COMPUTED_VALUE"""),"How to Manage Your Attention and Your Priorities")</f>
        <v>How to Manage Your Attention and Your Priorities</v>
      </c>
      <c r="E52" s="147" t="str">
        <f>IFERROR(__xludf.DUMMYFUNCTION("""COMPUTED_VALUE"""),"General")</f>
        <v>General</v>
      </c>
      <c r="F52" s="141" t="str">
        <f>IFERROR(__xludf.DUMMYFUNCTION("""COMPUTED_VALUE"""),"Beginner")</f>
        <v>Beginner</v>
      </c>
      <c r="G52" s="143">
        <f>IFERROR(__xludf.DUMMYFUNCTION("""COMPUTED_VALUE"""),0.015127314814814816)</f>
        <v>0.01512731481</v>
      </c>
      <c r="H52" s="151"/>
      <c r="I52" s="140"/>
      <c r="J52" s="140"/>
      <c r="K52" s="140"/>
      <c r="L52" s="147">
        <f>IFERROR(__xludf.DUMMYFUNCTION("""COMPUTED_VALUE"""),2834040.0)</f>
        <v>2834040</v>
      </c>
      <c r="M52" s="148" t="str">
        <f>IFERROR(__xludf.DUMMYFUNCTION("""COMPUTED_VALUE"""),"How to be an Adaptable Employee During Change and Uncertainty")</f>
        <v>How to be an Adaptable Employee During Change and Uncertainty</v>
      </c>
      <c r="N52" s="147" t="str">
        <f>IFERROR(__xludf.DUMMYFUNCTION("""COMPUTED_VALUE"""),"General")</f>
        <v>General</v>
      </c>
      <c r="O52" s="141" t="str">
        <f>IFERROR(__xludf.DUMMYFUNCTION("""COMPUTED_VALUE"""),"General")</f>
        <v>General</v>
      </c>
      <c r="P52" s="143">
        <f>IFERROR(__xludf.DUMMYFUNCTION("""COMPUTED_VALUE"""),0.024537037037037038)</f>
        <v>0.02453703704</v>
      </c>
      <c r="Q52" s="151"/>
      <c r="R52" s="140"/>
      <c r="S52" s="140"/>
    </row>
    <row r="53" ht="33.75" customHeight="1">
      <c r="A53" s="140"/>
      <c r="B53" s="140"/>
      <c r="C53" s="147">
        <f>IFERROR(__xludf.DUMMYFUNCTION("""COMPUTED_VALUE"""),3008781.0)</f>
        <v>3008781</v>
      </c>
      <c r="D53" s="148" t="str">
        <f>IFERROR(__xludf.DUMMYFUNCTION("""COMPUTED_VALUE"""),"Focus on What Matters and Minimize Distraction")</f>
        <v>Focus on What Matters and Minimize Distraction</v>
      </c>
      <c r="E53" s="147" t="str">
        <f>IFERROR(__xludf.DUMMYFUNCTION("""COMPUTED_VALUE"""),"General")</f>
        <v>General</v>
      </c>
      <c r="F53" s="141" t="str">
        <f>IFERROR(__xludf.DUMMYFUNCTION("""COMPUTED_VALUE"""),"Beginner")</f>
        <v>Beginner</v>
      </c>
      <c r="G53" s="143">
        <f>IFERROR(__xludf.DUMMYFUNCTION("""COMPUTED_VALUE"""),0.02625)</f>
        <v>0.02625</v>
      </c>
      <c r="H53" s="151"/>
      <c r="I53" s="140"/>
      <c r="J53" s="140"/>
      <c r="K53" s="140"/>
      <c r="L53" s="147">
        <f>IFERROR(__xludf.DUMMYFUNCTION("""COMPUTED_VALUE"""),2841516.0)</f>
        <v>2841516</v>
      </c>
      <c r="M53" s="148" t="str">
        <f>IFERROR(__xludf.DUMMYFUNCTION("""COMPUTED_VALUE"""),"Balancing Work and Life as a Work-from-Home Parent")</f>
        <v>Balancing Work and Life as a Work-from-Home Parent</v>
      </c>
      <c r="N53" s="147" t="str">
        <f>IFERROR(__xludf.DUMMYFUNCTION("""COMPUTED_VALUE"""),"General")</f>
        <v>General</v>
      </c>
      <c r="O53" s="141" t="str">
        <f>IFERROR(__xludf.DUMMYFUNCTION("""COMPUTED_VALUE"""),"General")</f>
        <v>General</v>
      </c>
      <c r="P53" s="143">
        <f>IFERROR(__xludf.DUMMYFUNCTION("""COMPUTED_VALUE"""),0.01980324074074074)</f>
        <v>0.01980324074</v>
      </c>
      <c r="Q53" s="151"/>
      <c r="R53" s="140"/>
      <c r="S53" s="140"/>
    </row>
    <row r="54" ht="33.75" customHeight="1">
      <c r="A54" s="140"/>
      <c r="B54" s="140"/>
      <c r="C54" s="147">
        <f>IFERROR(__xludf.DUMMYFUNCTION("""COMPUTED_VALUE"""),3008782.0)</f>
        <v>3008782</v>
      </c>
      <c r="D54" s="148" t="str">
        <f>IFERROR(__xludf.DUMMYFUNCTION("""COMPUTED_VALUE"""),"Learn to Control Your Attention")</f>
        <v>Learn to Control Your Attention</v>
      </c>
      <c r="E54" s="147" t="str">
        <f>IFERROR(__xludf.DUMMYFUNCTION("""COMPUTED_VALUE"""),"General")</f>
        <v>General</v>
      </c>
      <c r="F54" s="141" t="str">
        <f>IFERROR(__xludf.DUMMYFUNCTION("""COMPUTED_VALUE"""),"Beginner")</f>
        <v>Beginner</v>
      </c>
      <c r="G54" s="143">
        <f>IFERROR(__xludf.DUMMYFUNCTION("""COMPUTED_VALUE"""),0.020717592592592593)</f>
        <v>0.02071759259</v>
      </c>
      <c r="H54" s="151"/>
      <c r="I54" s="140"/>
      <c r="J54" s="140"/>
      <c r="K54" s="140"/>
      <c r="L54" s="147">
        <f>IFERROR(__xludf.DUMMYFUNCTION("""COMPUTED_VALUE"""),2805117.0)</f>
        <v>2805117</v>
      </c>
      <c r="M54" s="148" t="str">
        <f>IFERROR(__xludf.DUMMYFUNCTION("""COMPUTED_VALUE"""),"Managing Career Burnout")</f>
        <v>Managing Career Burnout</v>
      </c>
      <c r="N54" s="147" t="str">
        <f>IFERROR(__xludf.DUMMYFUNCTION("""COMPUTED_VALUE"""),"General")</f>
        <v>General</v>
      </c>
      <c r="O54" s="141" t="str">
        <f>IFERROR(__xludf.DUMMYFUNCTION("""COMPUTED_VALUE"""),"General")</f>
        <v>General</v>
      </c>
      <c r="P54" s="143">
        <f>IFERROR(__xludf.DUMMYFUNCTION("""COMPUTED_VALUE"""),0.030740740740740742)</f>
        <v>0.03074074074</v>
      </c>
      <c r="Q54" s="151"/>
      <c r="R54" s="140"/>
      <c r="S54" s="140"/>
    </row>
    <row r="55" ht="33.75" customHeight="1">
      <c r="A55" s="140"/>
      <c r="B55" s="140"/>
      <c r="C55" s="147">
        <f>IFERROR(__xludf.DUMMYFUNCTION("""COMPUTED_VALUE"""),2450236.0)</f>
        <v>2450236</v>
      </c>
      <c r="D55" s="148" t="str">
        <f>IFERROR(__xludf.DUMMYFUNCTION("""COMPUTED_VALUE"""),"Creating Behavioral Change that Lasts")</f>
        <v>Creating Behavioral Change that Lasts</v>
      </c>
      <c r="E55" s="147" t="str">
        <f>IFERROR(__xludf.DUMMYFUNCTION("""COMPUTED_VALUE"""),"General")</f>
        <v>General</v>
      </c>
      <c r="F55" s="141" t="str">
        <f>IFERROR(__xludf.DUMMYFUNCTION("""COMPUTED_VALUE"""),"Beginner")</f>
        <v>Beginner</v>
      </c>
      <c r="G55" s="143">
        <f>IFERROR(__xludf.DUMMYFUNCTION("""COMPUTED_VALUE"""),0.038125)</f>
        <v>0.038125</v>
      </c>
      <c r="H55" s="151"/>
      <c r="I55" s="140"/>
      <c r="J55" s="140"/>
      <c r="K55" s="140"/>
      <c r="L55" s="147">
        <f>IFERROR(__xludf.DUMMYFUNCTION("""COMPUTED_VALUE"""),2849188.0)</f>
        <v>2849188</v>
      </c>
      <c r="M55" s="148" t="str">
        <f>IFERROR(__xludf.DUMMYFUNCTION("""COMPUTED_VALUE"""),"Working from Home: Strategies for Success")</f>
        <v>Working from Home: Strategies for Success</v>
      </c>
      <c r="N55" s="147" t="str">
        <f>IFERROR(__xludf.DUMMYFUNCTION("""COMPUTED_VALUE"""),"General")</f>
        <v>General</v>
      </c>
      <c r="O55" s="141" t="str">
        <f>IFERROR(__xludf.DUMMYFUNCTION("""COMPUTED_VALUE"""),"General")</f>
        <v>General</v>
      </c>
      <c r="P55" s="143">
        <f>IFERROR(__xludf.DUMMYFUNCTION("""COMPUTED_VALUE"""),0.029502314814814815)</f>
        <v>0.02950231481</v>
      </c>
      <c r="Q55" s="151"/>
      <c r="R55" s="140"/>
      <c r="S55" s="140"/>
    </row>
    <row r="56" ht="33.75" customHeight="1">
      <c r="A56" s="140"/>
      <c r="B56" s="140"/>
      <c r="C56" s="147">
        <f>IFERROR(__xludf.DUMMYFUNCTION("""COMPUTED_VALUE"""),2450237.0)</f>
        <v>2450237</v>
      </c>
      <c r="D56" s="148" t="str">
        <f>IFERROR(__xludf.DUMMYFUNCTION("""COMPUTED_VALUE"""),"Get More Done in Less Time")</f>
        <v>Get More Done in Less Time</v>
      </c>
      <c r="E56" s="147" t="str">
        <f>IFERROR(__xludf.DUMMYFUNCTION("""COMPUTED_VALUE"""),"General")</f>
        <v>General</v>
      </c>
      <c r="F56" s="141" t="str">
        <f>IFERROR(__xludf.DUMMYFUNCTION("""COMPUTED_VALUE"""),"Beginner")</f>
        <v>Beginner</v>
      </c>
      <c r="G56" s="143">
        <f>IFERROR(__xludf.DUMMYFUNCTION("""COMPUTED_VALUE"""),0.033125)</f>
        <v>0.033125</v>
      </c>
      <c r="H56" s="151"/>
      <c r="I56" s="140"/>
      <c r="J56" s="140"/>
      <c r="K56" s="140"/>
      <c r="L56" s="147">
        <f>IFERROR(__xludf.DUMMYFUNCTION("""COMPUTED_VALUE"""),2883208.0)</f>
        <v>2883208</v>
      </c>
      <c r="M56" s="148" t="str">
        <f>IFERROR(__xludf.DUMMYFUNCTION("""COMPUTED_VALUE"""),"Enhance Productivity in a Hybrid Work Environment")</f>
        <v>Enhance Productivity in a Hybrid Work Environment</v>
      </c>
      <c r="N56" s="147" t="str">
        <f>IFERROR(__xludf.DUMMYFUNCTION("""COMPUTED_VALUE"""),"General")</f>
        <v>General</v>
      </c>
      <c r="O56" s="141" t="str">
        <f>IFERROR(__xludf.DUMMYFUNCTION("""COMPUTED_VALUE"""),"General")</f>
        <v>General</v>
      </c>
      <c r="P56" s="143">
        <f>IFERROR(__xludf.DUMMYFUNCTION("""COMPUTED_VALUE"""),0.01238425925925926)</f>
        <v>0.01238425926</v>
      </c>
      <c r="Q56" s="151"/>
      <c r="R56" s="140"/>
      <c r="S56" s="140"/>
    </row>
    <row r="57" ht="33.75" customHeight="1">
      <c r="A57" s="140"/>
      <c r="B57" s="140"/>
      <c r="C57" s="147">
        <f>IFERROR(__xludf.DUMMYFUNCTION("""COMPUTED_VALUE"""),2822392.0)</f>
        <v>2822392</v>
      </c>
      <c r="D57" s="148" t="str">
        <f>IFERROR(__xludf.DUMMYFUNCTION("""COMPUTED_VALUE"""),"Mixtape: Learning Highlights on Personal Effectiveness")</f>
        <v>Mixtape: Learning Highlights on Personal Effectiveness</v>
      </c>
      <c r="E57" s="147" t="str">
        <f>IFERROR(__xludf.DUMMYFUNCTION("""COMPUTED_VALUE"""),"General")</f>
        <v>General</v>
      </c>
      <c r="F57" s="141" t="str">
        <f>IFERROR(__xludf.DUMMYFUNCTION("""COMPUTED_VALUE"""),"Beginner + Intermediate")</f>
        <v>Beginner + Intermediate</v>
      </c>
      <c r="G57" s="143">
        <f>IFERROR(__xludf.DUMMYFUNCTION("""COMPUTED_VALUE"""),0.038622685185185184)</f>
        <v>0.03862268519</v>
      </c>
      <c r="H57" s="151"/>
      <c r="I57" s="140"/>
      <c r="J57" s="140"/>
      <c r="K57" s="140"/>
      <c r="L57" s="147">
        <f>IFERROR(__xludf.DUMMYFUNCTION("""COMPUTED_VALUE"""),2887258.0)</f>
        <v>2887258</v>
      </c>
      <c r="M57" s="148" t="str">
        <f>IFERROR(__xludf.DUMMYFUNCTION("""COMPUTED_VALUE"""),"Reframing: The Power of Changing Your Perspective")</f>
        <v>Reframing: The Power of Changing Your Perspective</v>
      </c>
      <c r="N57" s="147" t="str">
        <f>IFERROR(__xludf.DUMMYFUNCTION("""COMPUTED_VALUE"""),"General")</f>
        <v>General</v>
      </c>
      <c r="O57" s="141" t="str">
        <f>IFERROR(__xludf.DUMMYFUNCTION("""COMPUTED_VALUE"""),"General")</f>
        <v>General</v>
      </c>
      <c r="P57" s="143">
        <f>IFERROR(__xludf.DUMMYFUNCTION("""COMPUTED_VALUE"""),0.04346064814814815)</f>
        <v>0.04346064815</v>
      </c>
      <c r="Q57" s="151"/>
      <c r="R57" s="140"/>
      <c r="S57" s="140"/>
    </row>
    <row r="58" ht="33.75" customHeight="1">
      <c r="A58" s="140"/>
      <c r="B58" s="140"/>
      <c r="C58" s="147">
        <f>IFERROR(__xludf.DUMMYFUNCTION("""COMPUTED_VALUE"""),2424406.0)</f>
        <v>2424406</v>
      </c>
      <c r="D58" s="148" t="str">
        <f>IFERROR(__xludf.DUMMYFUNCTION("""COMPUTED_VALUE"""),"Overcome Overthinking")</f>
        <v>Overcome Overthinking</v>
      </c>
      <c r="E58" s="147" t="str">
        <f>IFERROR(__xludf.DUMMYFUNCTION("""COMPUTED_VALUE"""),"General")</f>
        <v>General</v>
      </c>
      <c r="F58" s="141" t="str">
        <f>IFERROR(__xludf.DUMMYFUNCTION("""COMPUTED_VALUE"""),"General")</f>
        <v>General</v>
      </c>
      <c r="G58" s="143">
        <f>IFERROR(__xludf.DUMMYFUNCTION("""COMPUTED_VALUE"""),0.025324074074074075)</f>
        <v>0.02532407407</v>
      </c>
      <c r="H58" s="151"/>
      <c r="I58" s="140"/>
      <c r="J58" s="140"/>
      <c r="K58" s="140"/>
      <c r="L58" s="147">
        <f>IFERROR(__xludf.DUMMYFUNCTION("""COMPUTED_VALUE"""),2896887.0)</f>
        <v>2896887</v>
      </c>
      <c r="M58" s="148" t="str">
        <f>IFERROR(__xludf.DUMMYFUNCTION("""COMPUTED_VALUE"""),"Reshuffle: A Special Series on the New World of Work")</f>
        <v>Reshuffle: A Special Series on the New World of Work</v>
      </c>
      <c r="N58" s="147" t="str">
        <f>IFERROR(__xludf.DUMMYFUNCTION("""COMPUTED_VALUE"""),"General")</f>
        <v>General</v>
      </c>
      <c r="O58" s="141" t="str">
        <f>IFERROR(__xludf.DUMMYFUNCTION("""COMPUTED_VALUE"""),"General")</f>
        <v>General</v>
      </c>
      <c r="P58" s="143">
        <f>IFERROR(__xludf.DUMMYFUNCTION("""COMPUTED_VALUE"""),0.033900462962962966)</f>
        <v>0.03390046296</v>
      </c>
      <c r="Q58" s="151"/>
      <c r="R58" s="140"/>
      <c r="S58" s="140"/>
    </row>
    <row r="59" ht="33.75" customHeight="1">
      <c r="A59" s="140"/>
      <c r="B59" s="140"/>
      <c r="C59" s="147">
        <f>IFERROR(__xludf.DUMMYFUNCTION("""COMPUTED_VALUE"""),170777.0)</f>
        <v>170777</v>
      </c>
      <c r="D59" s="148" t="str">
        <f>IFERROR(__xludf.DUMMYFUNCTION("""COMPUTED_VALUE"""),"Building Resilience")</f>
        <v>Building Resilience</v>
      </c>
      <c r="E59" s="147" t="str">
        <f>IFERROR(__xludf.DUMMYFUNCTION("""COMPUTED_VALUE"""),"General")</f>
        <v>General</v>
      </c>
      <c r="F59" s="141" t="str">
        <f>IFERROR(__xludf.DUMMYFUNCTION("""COMPUTED_VALUE"""),"General")</f>
        <v>General</v>
      </c>
      <c r="G59" s="143">
        <f>IFERROR(__xludf.DUMMYFUNCTION("""COMPUTED_VALUE"""),0.023900462962962964)</f>
        <v>0.02390046296</v>
      </c>
      <c r="H59" s="151"/>
      <c r="I59" s="140"/>
      <c r="J59" s="140"/>
      <c r="K59" s="140"/>
      <c r="L59" s="147">
        <f>IFERROR(__xludf.DUMMYFUNCTION("""COMPUTED_VALUE"""),699331.0)</f>
        <v>699331</v>
      </c>
      <c r="M59" s="148" t="str">
        <f>IFERROR(__xludf.DUMMYFUNCTION("""COMPUTED_VALUE"""),"Adaptive Project Leadership")</f>
        <v>Adaptive Project Leadership</v>
      </c>
      <c r="N59" s="147" t="str">
        <f>IFERROR(__xludf.DUMMYFUNCTION("""COMPUTED_VALUE"""),"General")</f>
        <v>General</v>
      </c>
      <c r="O59" s="141" t="str">
        <f>IFERROR(__xludf.DUMMYFUNCTION("""COMPUTED_VALUE"""),"Intermediate")</f>
        <v>Intermediate</v>
      </c>
      <c r="P59" s="143">
        <f>IFERROR(__xludf.DUMMYFUNCTION("""COMPUTED_VALUE"""),0.03329861111111111)</f>
        <v>0.03329861111</v>
      </c>
      <c r="Q59" s="151"/>
      <c r="R59" s="140"/>
      <c r="S59" s="140"/>
    </row>
    <row r="60" ht="33.75" customHeight="1">
      <c r="A60" s="140"/>
      <c r="B60" s="140"/>
      <c r="C60" s="147">
        <f>IFERROR(__xludf.DUMMYFUNCTION("""COMPUTED_VALUE"""),777381.0)</f>
        <v>777381</v>
      </c>
      <c r="D60" s="148" t="str">
        <f>IFERROR(__xludf.DUMMYFUNCTION("""COMPUTED_VALUE"""),"Delivering Results Effectively")</f>
        <v>Delivering Results Effectively</v>
      </c>
      <c r="E60" s="147" t="str">
        <f>IFERROR(__xludf.DUMMYFUNCTION("""COMPUTED_VALUE"""),"General")</f>
        <v>General</v>
      </c>
      <c r="F60" s="141" t="str">
        <f>IFERROR(__xludf.DUMMYFUNCTION("""COMPUTED_VALUE"""),"General")</f>
        <v>General</v>
      </c>
      <c r="G60" s="143">
        <f>IFERROR(__xludf.DUMMYFUNCTION("""COMPUTED_VALUE"""),0.03805555555555556)</f>
        <v>0.03805555556</v>
      </c>
      <c r="H60" s="151"/>
      <c r="I60" s="140"/>
      <c r="J60" s="140"/>
      <c r="K60" s="140"/>
      <c r="L60" s="147">
        <f>IFERROR(__xludf.DUMMYFUNCTION("""COMPUTED_VALUE"""),753898.0)</f>
        <v>753898</v>
      </c>
      <c r="M60" s="148" t="str">
        <f>IFERROR(__xludf.DUMMYFUNCTION("""COMPUTED_VALUE"""),"Cultivating Mental Agility")</f>
        <v>Cultivating Mental Agility</v>
      </c>
      <c r="N60" s="147" t="str">
        <f>IFERROR(__xludf.DUMMYFUNCTION("""COMPUTED_VALUE"""),"General")</f>
        <v>General</v>
      </c>
      <c r="O60" s="141" t="str">
        <f>IFERROR(__xludf.DUMMYFUNCTION("""COMPUTED_VALUE"""),"Intermediate")</f>
        <v>Intermediate</v>
      </c>
      <c r="P60" s="143">
        <f>IFERROR(__xludf.DUMMYFUNCTION("""COMPUTED_VALUE"""),0.025277777777777777)</f>
        <v>0.02527777778</v>
      </c>
      <c r="Q60" s="151"/>
      <c r="R60" s="140"/>
      <c r="S60" s="140"/>
    </row>
    <row r="61" ht="33.75" customHeight="1">
      <c r="A61" s="140"/>
      <c r="B61" s="140"/>
      <c r="C61" s="147">
        <f>IFERROR(__xludf.DUMMYFUNCTION("""COMPUTED_VALUE"""),718618.0)</f>
        <v>718618</v>
      </c>
      <c r="D61" s="148" t="str">
        <f>IFERROR(__xludf.DUMMYFUNCTION("""COMPUTED_VALUE"""),"Enhancing Resilience")</f>
        <v>Enhancing Resilience</v>
      </c>
      <c r="E61" s="147" t="str">
        <f>IFERROR(__xludf.DUMMYFUNCTION("""COMPUTED_VALUE"""),"General")</f>
        <v>General</v>
      </c>
      <c r="F61" s="141" t="str">
        <f>IFERROR(__xludf.DUMMYFUNCTION("""COMPUTED_VALUE"""),"General")</f>
        <v>General</v>
      </c>
      <c r="G61" s="143">
        <f>IFERROR(__xludf.DUMMYFUNCTION("""COMPUTED_VALUE"""),0.03596064814814815)</f>
        <v>0.03596064815</v>
      </c>
      <c r="H61" s="151"/>
      <c r="I61" s="140"/>
      <c r="J61" s="140"/>
      <c r="K61" s="140"/>
      <c r="L61" s="147"/>
      <c r="M61" s="153"/>
      <c r="N61" s="147"/>
      <c r="O61" s="141"/>
      <c r="P61" s="141"/>
      <c r="Q61" s="151"/>
      <c r="R61" s="140"/>
      <c r="S61" s="140"/>
    </row>
    <row r="62" ht="33.75" customHeight="1">
      <c r="A62" s="140"/>
      <c r="B62" s="140"/>
      <c r="C62" s="147">
        <f>IFERROR(__xludf.DUMMYFUNCTION("""COMPUTED_VALUE"""),387349.0)</f>
        <v>387349</v>
      </c>
      <c r="D62" s="148" t="str">
        <f>IFERROR(__xludf.DUMMYFUNCTION("""COMPUTED_VALUE"""),"Powerless to Powerful: Taking Control")</f>
        <v>Powerless to Powerful: Taking Control</v>
      </c>
      <c r="E62" s="147" t="str">
        <f>IFERROR(__xludf.DUMMYFUNCTION("""COMPUTED_VALUE"""),"General")</f>
        <v>General</v>
      </c>
      <c r="F62" s="141" t="str">
        <f>IFERROR(__xludf.DUMMYFUNCTION("""COMPUTED_VALUE"""),"General")</f>
        <v>General</v>
      </c>
      <c r="G62" s="143">
        <f>IFERROR(__xludf.DUMMYFUNCTION("""COMPUTED_VALUE"""),0.033796296296296297)</f>
        <v>0.0337962963</v>
      </c>
      <c r="H62" s="151"/>
      <c r="I62" s="140"/>
      <c r="J62" s="140"/>
      <c r="K62" s="140"/>
      <c r="L62" s="147"/>
      <c r="M62" s="153"/>
      <c r="N62" s="147"/>
      <c r="O62" s="141"/>
      <c r="P62" s="141"/>
      <c r="Q62" s="151"/>
      <c r="R62" s="140"/>
      <c r="S62" s="140"/>
    </row>
    <row r="63" ht="33.75" customHeight="1">
      <c r="A63" s="140"/>
      <c r="B63" s="140"/>
      <c r="C63" s="147">
        <f>IFERROR(__xludf.DUMMYFUNCTION("""COMPUTED_VALUE"""),737763.0)</f>
        <v>737763</v>
      </c>
      <c r="D63" s="148" t="str">
        <f>IFERROR(__xludf.DUMMYFUNCTION("""COMPUTED_VALUE"""),"Prioritizing Your Tasks")</f>
        <v>Prioritizing Your Tasks</v>
      </c>
      <c r="E63" s="147" t="str">
        <f>IFERROR(__xludf.DUMMYFUNCTION("""COMPUTED_VALUE"""),"General")</f>
        <v>General</v>
      </c>
      <c r="F63" s="141" t="str">
        <f>IFERROR(__xludf.DUMMYFUNCTION("""COMPUTED_VALUE"""),"General")</f>
        <v>General</v>
      </c>
      <c r="G63" s="143">
        <f>IFERROR(__xludf.DUMMYFUNCTION("""COMPUTED_VALUE"""),0.02599537037037037)</f>
        <v>0.02599537037</v>
      </c>
      <c r="H63" s="151"/>
      <c r="I63" s="140"/>
      <c r="J63" s="140"/>
      <c r="K63" s="140"/>
      <c r="L63" s="147"/>
      <c r="M63" s="153"/>
      <c r="N63" s="147"/>
      <c r="O63" s="141"/>
      <c r="P63" s="141"/>
      <c r="Q63" s="151"/>
      <c r="R63" s="140"/>
      <c r="S63" s="140"/>
    </row>
    <row r="64" ht="33.75" customHeight="1">
      <c r="A64" s="140"/>
      <c r="B64" s="140"/>
      <c r="C64" s="147">
        <f>IFERROR(__xludf.DUMMYFUNCTION("""COMPUTED_VALUE"""),2242041.0)</f>
        <v>2242041</v>
      </c>
      <c r="D64" s="148" t="str">
        <f>IFERROR(__xludf.DUMMYFUNCTION("""COMPUTED_VALUE"""),"Stepping Up: How Taking Responsibility Changes Everything (getAbstract Summary)")</f>
        <v>Stepping Up: How Taking Responsibility Changes Everything (getAbstract Summary)</v>
      </c>
      <c r="E64" s="147" t="str">
        <f>IFERROR(__xludf.DUMMYFUNCTION("""COMPUTED_VALUE"""),"General")</f>
        <v>General</v>
      </c>
      <c r="F64" s="141" t="str">
        <f>IFERROR(__xludf.DUMMYFUNCTION("""COMPUTED_VALUE"""),"General")</f>
        <v>General</v>
      </c>
      <c r="G64" s="143">
        <f>IFERROR(__xludf.DUMMYFUNCTION("""COMPUTED_VALUE"""),0.005347222222222222)</f>
        <v>0.005347222222</v>
      </c>
      <c r="H64" s="151"/>
      <c r="I64" s="140"/>
      <c r="J64" s="140"/>
      <c r="K64" s="140"/>
      <c r="L64" s="147"/>
      <c r="M64" s="153"/>
      <c r="N64" s="147"/>
      <c r="O64" s="141"/>
      <c r="P64" s="141"/>
      <c r="Q64" s="151"/>
      <c r="R64" s="140"/>
      <c r="S64" s="140"/>
    </row>
    <row r="65" ht="33.75" customHeight="1">
      <c r="A65" s="140"/>
      <c r="B65" s="140"/>
      <c r="C65" s="147">
        <f>IFERROR(__xludf.DUMMYFUNCTION("""COMPUTED_VALUE"""),2244043.0)</f>
        <v>2244043</v>
      </c>
      <c r="D65" s="148" t="str">
        <f>IFERROR(__xludf.DUMMYFUNCTION("""COMPUTED_VALUE"""),"What to Do When There's Too Much to Do (getAbstract Summary)")</f>
        <v>What to Do When There's Too Much to Do (getAbstract Summary)</v>
      </c>
      <c r="E65" s="147" t="str">
        <f>IFERROR(__xludf.DUMMYFUNCTION("""COMPUTED_VALUE"""),"General")</f>
        <v>General</v>
      </c>
      <c r="F65" s="141" t="str">
        <f>IFERROR(__xludf.DUMMYFUNCTION("""COMPUTED_VALUE"""),"General")</f>
        <v>General</v>
      </c>
      <c r="G65" s="143">
        <f>IFERROR(__xludf.DUMMYFUNCTION("""COMPUTED_VALUE"""),0.005474537037037037)</f>
        <v>0.005474537037</v>
      </c>
      <c r="H65" s="151"/>
      <c r="I65" s="140"/>
      <c r="J65" s="140"/>
      <c r="K65" s="140"/>
      <c r="L65" s="147"/>
      <c r="M65" s="153"/>
      <c r="N65" s="147"/>
      <c r="O65" s="141"/>
      <c r="P65" s="141"/>
      <c r="Q65" s="151"/>
      <c r="R65" s="140"/>
      <c r="S65" s="140"/>
    </row>
    <row r="66" ht="33.75" customHeight="1">
      <c r="A66" s="140"/>
      <c r="B66" s="140"/>
      <c r="C66" s="147">
        <f>IFERROR(__xludf.DUMMYFUNCTION("""COMPUTED_VALUE"""),2805120.0)</f>
        <v>2805120</v>
      </c>
      <c r="D66" s="148" t="str">
        <f>IFERROR(__xludf.DUMMYFUNCTION("""COMPUTED_VALUE"""),"Improving the Value of Your Time")</f>
        <v>Improving the Value of Your Time</v>
      </c>
      <c r="E66" s="147" t="str">
        <f>IFERROR(__xludf.DUMMYFUNCTION("""COMPUTED_VALUE"""),"General")</f>
        <v>General</v>
      </c>
      <c r="F66" s="141" t="str">
        <f>IFERROR(__xludf.DUMMYFUNCTION("""COMPUTED_VALUE"""),"General")</f>
        <v>General</v>
      </c>
      <c r="G66" s="143">
        <f>IFERROR(__xludf.DUMMYFUNCTION("""COMPUTED_VALUE"""),0.01962962962962963)</f>
        <v>0.01962962963</v>
      </c>
      <c r="H66" s="151"/>
      <c r="I66" s="140"/>
      <c r="J66" s="140"/>
      <c r="K66" s="140"/>
      <c r="L66" s="147"/>
      <c r="M66" s="153"/>
      <c r="N66" s="147"/>
      <c r="O66" s="141"/>
      <c r="P66" s="141"/>
      <c r="Q66" s="151"/>
      <c r="R66" s="140"/>
      <c r="S66" s="140"/>
    </row>
    <row r="67" ht="33.75" customHeight="1">
      <c r="A67" s="140"/>
      <c r="B67" s="140"/>
      <c r="C67" s="147">
        <f>IFERROR(__xludf.DUMMYFUNCTION("""COMPUTED_VALUE"""),2841516.0)</f>
        <v>2841516</v>
      </c>
      <c r="D67" s="148" t="str">
        <f>IFERROR(__xludf.DUMMYFUNCTION("""COMPUTED_VALUE"""),"Balancing Work and Life as a Work-from-Home Parent")</f>
        <v>Balancing Work and Life as a Work-from-Home Parent</v>
      </c>
      <c r="E67" s="147" t="str">
        <f>IFERROR(__xludf.DUMMYFUNCTION("""COMPUTED_VALUE"""),"General")</f>
        <v>General</v>
      </c>
      <c r="F67" s="141" t="str">
        <f>IFERROR(__xludf.DUMMYFUNCTION("""COMPUTED_VALUE"""),"General")</f>
        <v>General</v>
      </c>
      <c r="G67" s="143">
        <f>IFERROR(__xludf.DUMMYFUNCTION("""COMPUTED_VALUE"""),0.01980324074074074)</f>
        <v>0.01980324074</v>
      </c>
      <c r="H67" s="151"/>
      <c r="I67" s="140"/>
      <c r="J67" s="140"/>
      <c r="K67" s="140"/>
      <c r="L67" s="147"/>
      <c r="M67" s="153"/>
      <c r="N67" s="147"/>
      <c r="O67" s="141"/>
      <c r="P67" s="141"/>
      <c r="Q67" s="151"/>
      <c r="R67" s="140"/>
      <c r="S67" s="140"/>
    </row>
    <row r="68" ht="33.75" customHeight="1">
      <c r="A68" s="140"/>
      <c r="B68" s="140"/>
      <c r="C68" s="147">
        <f>IFERROR(__xludf.DUMMYFUNCTION("""COMPUTED_VALUE"""),2801187.0)</f>
        <v>2801187</v>
      </c>
      <c r="D68" s="148" t="str">
        <f>IFERROR(__xludf.DUMMYFUNCTION("""COMPUTED_VALUE"""),"Business Ethics")</f>
        <v>Business Ethics</v>
      </c>
      <c r="E68" s="147" t="str">
        <f>IFERROR(__xludf.DUMMYFUNCTION("""COMPUTED_VALUE"""),"General")</f>
        <v>General</v>
      </c>
      <c r="F68" s="141" t="str">
        <f>IFERROR(__xludf.DUMMYFUNCTION("""COMPUTED_VALUE"""),"General")</f>
        <v>General</v>
      </c>
      <c r="G68" s="143">
        <f>IFERROR(__xludf.DUMMYFUNCTION("""COMPUTED_VALUE"""),0.03744212962962963)</f>
        <v>0.03744212963</v>
      </c>
      <c r="H68" s="151"/>
      <c r="I68" s="140"/>
      <c r="J68" s="140"/>
      <c r="K68" s="140"/>
      <c r="L68" s="147"/>
      <c r="M68" s="153"/>
      <c r="N68" s="147"/>
      <c r="O68" s="141"/>
      <c r="P68" s="141"/>
      <c r="Q68" s="151"/>
      <c r="R68" s="140"/>
      <c r="S68" s="140"/>
    </row>
    <row r="69" ht="33.75" customHeight="1">
      <c r="A69" s="140"/>
      <c r="B69" s="140"/>
      <c r="C69" s="147">
        <f>IFERROR(__xludf.DUMMYFUNCTION("""COMPUTED_VALUE"""),2849188.0)</f>
        <v>2849188</v>
      </c>
      <c r="D69" s="148" t="str">
        <f>IFERROR(__xludf.DUMMYFUNCTION("""COMPUTED_VALUE"""),"Working from Home: Strategies for Success")</f>
        <v>Working from Home: Strategies for Success</v>
      </c>
      <c r="E69" s="147" t="str">
        <f>IFERROR(__xludf.DUMMYFUNCTION("""COMPUTED_VALUE"""),"General")</f>
        <v>General</v>
      </c>
      <c r="F69" s="141" t="str">
        <f>IFERROR(__xludf.DUMMYFUNCTION("""COMPUTED_VALUE"""),"General")</f>
        <v>General</v>
      </c>
      <c r="G69" s="143">
        <f>IFERROR(__xludf.DUMMYFUNCTION("""COMPUTED_VALUE"""),0.029502314814814815)</f>
        <v>0.02950231481</v>
      </c>
      <c r="H69" s="151"/>
      <c r="I69" s="140"/>
      <c r="J69" s="140"/>
      <c r="K69" s="140"/>
      <c r="L69" s="147"/>
      <c r="M69" s="153"/>
      <c r="N69" s="147"/>
      <c r="O69" s="141"/>
      <c r="P69" s="141"/>
      <c r="Q69" s="151"/>
      <c r="R69" s="140"/>
      <c r="S69" s="140"/>
    </row>
    <row r="70" ht="33.75" customHeight="1">
      <c r="A70" s="140"/>
      <c r="B70" s="140"/>
      <c r="C70" s="147">
        <f>IFERROR(__xludf.DUMMYFUNCTION("""COMPUTED_VALUE"""),2281181.0)</f>
        <v>2281181</v>
      </c>
      <c r="D70" s="148" t="str">
        <f>IFERROR(__xludf.DUMMYFUNCTION("""COMPUTED_VALUE"""),"The Power of Lists to Get Stuff Done")</f>
        <v>The Power of Lists to Get Stuff Done</v>
      </c>
      <c r="E70" s="147" t="str">
        <f>IFERROR(__xludf.DUMMYFUNCTION("""COMPUTED_VALUE"""),"General")</f>
        <v>General</v>
      </c>
      <c r="F70" s="141" t="str">
        <f>IFERROR(__xludf.DUMMYFUNCTION("""COMPUTED_VALUE"""),"General")</f>
        <v>General</v>
      </c>
      <c r="G70" s="143">
        <f>IFERROR(__xludf.DUMMYFUNCTION("""COMPUTED_VALUE"""),0.027337962962962963)</f>
        <v>0.02733796296</v>
      </c>
      <c r="H70" s="151"/>
      <c r="I70" s="140"/>
      <c r="J70" s="140"/>
      <c r="K70" s="140"/>
      <c r="L70" s="147"/>
      <c r="M70" s="153"/>
      <c r="N70" s="147"/>
      <c r="O70" s="141"/>
      <c r="P70" s="141"/>
      <c r="Q70" s="151"/>
      <c r="R70" s="140"/>
      <c r="S70" s="140"/>
    </row>
    <row r="71" ht="33.75" customHeight="1">
      <c r="A71" s="140"/>
      <c r="B71" s="140"/>
      <c r="C71" s="147">
        <f>IFERROR(__xludf.DUMMYFUNCTION("""COMPUTED_VALUE"""),2825740.0)</f>
        <v>2825740</v>
      </c>
      <c r="D71" s="148" t="str">
        <f>IFERROR(__xludf.DUMMYFUNCTION("""COMPUTED_VALUE"""),"Asking for Feedback as an Employee")</f>
        <v>Asking for Feedback as an Employee</v>
      </c>
      <c r="E71" s="147" t="str">
        <f>IFERROR(__xludf.DUMMYFUNCTION("""COMPUTED_VALUE"""),"General")</f>
        <v>General</v>
      </c>
      <c r="F71" s="141" t="str">
        <f>IFERROR(__xludf.DUMMYFUNCTION("""COMPUTED_VALUE"""),"General")</f>
        <v>General</v>
      </c>
      <c r="G71" s="143">
        <f>IFERROR(__xludf.DUMMYFUNCTION("""COMPUTED_VALUE"""),0.01511574074074074)</f>
        <v>0.01511574074</v>
      </c>
      <c r="H71" s="151"/>
      <c r="I71" s="140"/>
      <c r="J71" s="140"/>
      <c r="K71" s="140"/>
      <c r="L71" s="147"/>
      <c r="M71" s="153"/>
      <c r="N71" s="147"/>
      <c r="O71" s="141"/>
      <c r="P71" s="141"/>
      <c r="Q71" s="151"/>
      <c r="R71" s="140"/>
      <c r="S71" s="140"/>
    </row>
    <row r="72" ht="33.75" customHeight="1">
      <c r="A72" s="140"/>
      <c r="B72" s="140"/>
      <c r="C72" s="147">
        <f>IFERROR(__xludf.DUMMYFUNCTION("""COMPUTED_VALUE"""),3107148.0)</f>
        <v>3107148</v>
      </c>
      <c r="D72" s="148" t="str">
        <f>IFERROR(__xludf.DUMMYFUNCTION("""COMPUTED_VALUE"""),"Enhance Your Productivity with Effective Note-Taking")</f>
        <v>Enhance Your Productivity with Effective Note-Taking</v>
      </c>
      <c r="E72" s="147" t="str">
        <f>IFERROR(__xludf.DUMMYFUNCTION("""COMPUTED_VALUE"""),"General")</f>
        <v>General</v>
      </c>
      <c r="F72" s="141" t="str">
        <f>IFERROR(__xludf.DUMMYFUNCTION("""COMPUTED_VALUE"""),"General")</f>
        <v>General</v>
      </c>
      <c r="G72" s="143">
        <f>IFERROR(__xludf.DUMMYFUNCTION("""COMPUTED_VALUE"""),0.013287037037037036)</f>
        <v>0.01328703704</v>
      </c>
      <c r="H72" s="151"/>
      <c r="I72" s="140"/>
      <c r="J72" s="140"/>
      <c r="K72" s="140"/>
      <c r="L72" s="147"/>
      <c r="M72" s="153"/>
      <c r="N72" s="147"/>
      <c r="O72" s="141"/>
      <c r="P72" s="141"/>
      <c r="Q72" s="151"/>
      <c r="R72" s="140"/>
      <c r="S72" s="140"/>
    </row>
    <row r="73" ht="33.75" customHeight="1">
      <c r="A73" s="140"/>
      <c r="B73" s="140"/>
      <c r="C73" s="147">
        <f>IFERROR(__xludf.DUMMYFUNCTION("""COMPUTED_VALUE"""),2875016.0)</f>
        <v>2875016</v>
      </c>
      <c r="D73" s="148" t="str">
        <f>IFERROR(__xludf.DUMMYFUNCTION("""COMPUTED_VALUE"""),"How to Motivate Yourself to Do What’s Most Important")</f>
        <v>How to Motivate Yourself to Do What’s Most Important</v>
      </c>
      <c r="E73" s="147" t="str">
        <f>IFERROR(__xludf.DUMMYFUNCTION("""COMPUTED_VALUE"""),"General")</f>
        <v>General</v>
      </c>
      <c r="F73" s="141" t="str">
        <f>IFERROR(__xludf.DUMMYFUNCTION("""COMPUTED_VALUE"""),"General")</f>
        <v>General</v>
      </c>
      <c r="G73" s="143">
        <f>IFERROR(__xludf.DUMMYFUNCTION("""COMPUTED_VALUE"""),0.0121875)</f>
        <v>0.0121875</v>
      </c>
      <c r="H73" s="151"/>
      <c r="I73" s="140"/>
      <c r="J73" s="140"/>
      <c r="K73" s="140"/>
      <c r="L73" s="147"/>
      <c r="M73" s="153"/>
      <c r="N73" s="147"/>
      <c r="O73" s="141"/>
      <c r="P73" s="141"/>
      <c r="Q73" s="151"/>
      <c r="R73" s="140"/>
      <c r="S73" s="140"/>
    </row>
    <row r="74" ht="33.75" customHeight="1">
      <c r="A74" s="140"/>
      <c r="B74" s="140"/>
      <c r="C74" s="147">
        <f>IFERROR(__xludf.DUMMYFUNCTION("""COMPUTED_VALUE"""),2833004.0)</f>
        <v>2833004</v>
      </c>
      <c r="D74" s="148" t="str">
        <f>IFERROR(__xludf.DUMMYFUNCTION("""COMPUTED_VALUE"""),"Mastering Self-Leadership")</f>
        <v>Mastering Self-Leadership</v>
      </c>
      <c r="E74" s="147" t="str">
        <f>IFERROR(__xludf.DUMMYFUNCTION("""COMPUTED_VALUE"""),"General")</f>
        <v>General</v>
      </c>
      <c r="F74" s="141" t="str">
        <f>IFERROR(__xludf.DUMMYFUNCTION("""COMPUTED_VALUE"""),"General")</f>
        <v>General</v>
      </c>
      <c r="G74" s="143">
        <f>IFERROR(__xludf.DUMMYFUNCTION("""COMPUTED_VALUE"""),0.018113425925925925)</f>
        <v>0.01811342593</v>
      </c>
      <c r="H74" s="151"/>
      <c r="I74" s="140"/>
      <c r="J74" s="140"/>
      <c r="K74" s="140"/>
      <c r="L74" s="147"/>
      <c r="M74" s="153"/>
      <c r="N74" s="147"/>
      <c r="O74" s="141"/>
      <c r="P74" s="141"/>
      <c r="Q74" s="151"/>
      <c r="R74" s="140"/>
      <c r="S74" s="140"/>
    </row>
    <row r="75" ht="33.75" customHeight="1">
      <c r="A75" s="140"/>
      <c r="B75" s="140"/>
      <c r="C75" s="147">
        <f>IFERROR(__xludf.DUMMYFUNCTION("""COMPUTED_VALUE"""),2300009.0)</f>
        <v>2300009</v>
      </c>
      <c r="D75" s="148" t="str">
        <f>IFERROR(__xludf.DUMMYFUNCTION("""COMPUTED_VALUE"""),"Managing Up as an Employee")</f>
        <v>Managing Up as an Employee</v>
      </c>
      <c r="E75" s="147" t="str">
        <f>IFERROR(__xludf.DUMMYFUNCTION("""COMPUTED_VALUE"""),"General")</f>
        <v>General</v>
      </c>
      <c r="F75" s="141" t="str">
        <f>IFERROR(__xludf.DUMMYFUNCTION("""COMPUTED_VALUE"""),"General")</f>
        <v>General</v>
      </c>
      <c r="G75" s="143">
        <f>IFERROR(__xludf.DUMMYFUNCTION("""COMPUTED_VALUE"""),0.034305555555555554)</f>
        <v>0.03430555556</v>
      </c>
      <c r="H75" s="151"/>
      <c r="I75" s="140"/>
      <c r="J75" s="140"/>
      <c r="K75" s="140"/>
      <c r="L75" s="147"/>
      <c r="M75" s="153"/>
      <c r="N75" s="147"/>
      <c r="O75" s="141"/>
      <c r="P75" s="141"/>
      <c r="Q75" s="151"/>
      <c r="R75" s="140"/>
      <c r="S75" s="140"/>
    </row>
    <row r="76" ht="33.75" customHeight="1">
      <c r="A76" s="140"/>
      <c r="B76" s="140"/>
      <c r="C76" s="147">
        <f>IFERROR(__xludf.DUMMYFUNCTION("""COMPUTED_VALUE"""),2887218.0)</f>
        <v>2887218</v>
      </c>
      <c r="D76" s="148" t="str">
        <f>IFERROR(__xludf.DUMMYFUNCTION("""COMPUTED_VALUE"""),"One-Minute Habits for Success")</f>
        <v>One-Minute Habits for Success</v>
      </c>
      <c r="E76" s="147" t="str">
        <f>IFERROR(__xludf.DUMMYFUNCTION("""COMPUTED_VALUE"""),"General")</f>
        <v>General</v>
      </c>
      <c r="F76" s="141" t="str">
        <f>IFERROR(__xludf.DUMMYFUNCTION("""COMPUTED_VALUE"""),"General")</f>
        <v>General</v>
      </c>
      <c r="G76" s="143">
        <f>IFERROR(__xludf.DUMMYFUNCTION("""COMPUTED_VALUE"""),0.028009259259259258)</f>
        <v>0.02800925926</v>
      </c>
      <c r="H76" s="151"/>
      <c r="I76" s="140"/>
      <c r="J76" s="140"/>
      <c r="K76" s="140"/>
      <c r="L76" s="147"/>
      <c r="M76" s="153"/>
      <c r="N76" s="147"/>
      <c r="O76" s="141"/>
      <c r="P76" s="141"/>
      <c r="Q76" s="151"/>
      <c r="R76" s="140"/>
      <c r="S76" s="140"/>
    </row>
    <row r="77" ht="33.75" customHeight="1">
      <c r="A77" s="140"/>
      <c r="B77" s="140"/>
      <c r="C77" s="147">
        <f>IFERROR(__xludf.DUMMYFUNCTION("""COMPUTED_VALUE"""),2895102.0)</f>
        <v>2895102</v>
      </c>
      <c r="D77" s="148" t="str">
        <f>IFERROR(__xludf.DUMMYFUNCTION("""COMPUTED_VALUE"""),"Habits to Win Every Day")</f>
        <v>Habits to Win Every Day</v>
      </c>
      <c r="E77" s="147" t="str">
        <f>IFERROR(__xludf.DUMMYFUNCTION("""COMPUTED_VALUE"""),"General")</f>
        <v>General</v>
      </c>
      <c r="F77" s="141" t="str">
        <f>IFERROR(__xludf.DUMMYFUNCTION("""COMPUTED_VALUE"""),"General")</f>
        <v>General</v>
      </c>
      <c r="G77" s="143">
        <f>IFERROR(__xludf.DUMMYFUNCTION("""COMPUTED_VALUE"""),0.03596064814814815)</f>
        <v>0.03596064815</v>
      </c>
      <c r="H77" s="151"/>
      <c r="I77" s="140"/>
      <c r="J77" s="140"/>
      <c r="K77" s="140"/>
      <c r="L77" s="147"/>
      <c r="M77" s="153"/>
      <c r="N77" s="147"/>
      <c r="O77" s="141"/>
      <c r="P77" s="141"/>
      <c r="Q77" s="151"/>
      <c r="R77" s="140"/>
      <c r="S77" s="140"/>
    </row>
    <row r="78" ht="33.75" customHeight="1">
      <c r="A78" s="140"/>
      <c r="B78" s="140"/>
      <c r="C78" s="147">
        <f>IFERROR(__xludf.DUMMYFUNCTION("""COMPUTED_VALUE"""),3005198.0)</f>
        <v>3005198</v>
      </c>
      <c r="D78" s="148" t="str">
        <f>IFERROR(__xludf.DUMMYFUNCTION("""COMPUTED_VALUE"""),"Flexible Working (Blinkist Summary)")</f>
        <v>Flexible Working (Blinkist Summary)</v>
      </c>
      <c r="E78" s="147" t="str">
        <f>IFERROR(__xludf.DUMMYFUNCTION("""COMPUTED_VALUE"""),"General")</f>
        <v>General</v>
      </c>
      <c r="F78" s="141" t="str">
        <f>IFERROR(__xludf.DUMMYFUNCTION("""COMPUTED_VALUE"""),"General")</f>
        <v>General</v>
      </c>
      <c r="G78" s="143">
        <f>IFERROR(__xludf.DUMMYFUNCTION("""COMPUTED_VALUE"""),0.016435185185185185)</f>
        <v>0.01643518519</v>
      </c>
      <c r="H78" s="151"/>
      <c r="I78" s="140"/>
      <c r="J78" s="140"/>
      <c r="K78" s="140"/>
      <c r="L78" s="147"/>
      <c r="M78" s="153"/>
      <c r="N78" s="147"/>
      <c r="O78" s="141"/>
      <c r="P78" s="141"/>
      <c r="Q78" s="151"/>
      <c r="R78" s="140"/>
      <c r="S78" s="140"/>
    </row>
    <row r="79" ht="33.75" customHeight="1">
      <c r="A79" s="140"/>
      <c r="B79" s="140"/>
      <c r="C79" s="147">
        <f>IFERROR(__xludf.DUMMYFUNCTION("""COMPUTED_VALUE"""),3005199.0)</f>
        <v>3005199</v>
      </c>
      <c r="D79" s="148" t="str">
        <f>IFERROR(__xludf.DUMMYFUNCTION("""COMPUTED_VALUE"""),"Hyperfocus (Blinkist Summary)")</f>
        <v>Hyperfocus (Blinkist Summary)</v>
      </c>
      <c r="E79" s="147" t="str">
        <f>IFERROR(__xludf.DUMMYFUNCTION("""COMPUTED_VALUE"""),"General")</f>
        <v>General</v>
      </c>
      <c r="F79" s="141" t="str">
        <f>IFERROR(__xludf.DUMMYFUNCTION("""COMPUTED_VALUE"""),"General")</f>
        <v>General</v>
      </c>
      <c r="G79" s="143">
        <f>IFERROR(__xludf.DUMMYFUNCTION("""COMPUTED_VALUE"""),0.013784722222222223)</f>
        <v>0.01378472222</v>
      </c>
      <c r="H79" s="151"/>
      <c r="I79" s="140"/>
      <c r="J79" s="140"/>
      <c r="K79" s="140"/>
      <c r="L79" s="147"/>
      <c r="M79" s="153"/>
      <c r="N79" s="147"/>
      <c r="O79" s="141"/>
      <c r="P79" s="141"/>
      <c r="Q79" s="151"/>
      <c r="R79" s="140"/>
      <c r="S79" s="140"/>
    </row>
    <row r="80" ht="33.75" customHeight="1">
      <c r="A80" s="140"/>
      <c r="B80" s="140"/>
      <c r="C80" s="147">
        <f>IFERROR(__xludf.DUMMYFUNCTION("""COMPUTED_VALUE"""),3010104.0)</f>
        <v>3010104</v>
      </c>
      <c r="D80" s="148" t="str">
        <f>IFERROR(__xludf.DUMMYFUNCTION("""COMPUTED_VALUE"""),"The Three Secrets to Effective Time Investment (Blinkist Summary)")</f>
        <v>The Three Secrets to Effective Time Investment (Blinkist Summary)</v>
      </c>
      <c r="E80" s="147" t="str">
        <f>IFERROR(__xludf.DUMMYFUNCTION("""COMPUTED_VALUE"""),"General")</f>
        <v>General</v>
      </c>
      <c r="F80" s="141" t="str">
        <f>IFERROR(__xludf.DUMMYFUNCTION("""COMPUTED_VALUE"""),"General")</f>
        <v>General</v>
      </c>
      <c r="G80" s="143">
        <f>IFERROR(__xludf.DUMMYFUNCTION("""COMPUTED_VALUE"""),0.015775462962962963)</f>
        <v>0.01577546296</v>
      </c>
      <c r="H80" s="151"/>
      <c r="I80" s="140"/>
      <c r="J80" s="140"/>
      <c r="K80" s="140"/>
      <c r="L80" s="147"/>
      <c r="M80" s="153"/>
      <c r="N80" s="147"/>
      <c r="O80" s="141"/>
      <c r="P80" s="141"/>
      <c r="Q80" s="151"/>
      <c r="R80" s="140"/>
      <c r="S80" s="140"/>
    </row>
    <row r="81" ht="33.75" customHeight="1">
      <c r="A81" s="154"/>
      <c r="B81" s="154"/>
      <c r="C81" s="147">
        <f>IFERROR(__xludf.DUMMYFUNCTION("""COMPUTED_VALUE"""),3011079.0)</f>
        <v>3011079</v>
      </c>
      <c r="D81" s="148" t="str">
        <f>IFERROR(__xludf.DUMMYFUNCTION("""COMPUTED_VALUE"""),"The Procrastination Cure (Blinkist Summary)")</f>
        <v>The Procrastination Cure (Blinkist Summary)</v>
      </c>
      <c r="E81" s="147" t="str">
        <f>IFERROR(__xludf.DUMMYFUNCTION("""COMPUTED_VALUE"""),"General")</f>
        <v>General</v>
      </c>
      <c r="F81" s="141" t="str">
        <f>IFERROR(__xludf.DUMMYFUNCTION("""COMPUTED_VALUE"""),"General")</f>
        <v>General</v>
      </c>
      <c r="G81" s="143">
        <f>IFERROR(__xludf.DUMMYFUNCTION("""COMPUTED_VALUE"""),0.015717592592592592)</f>
        <v>0.01571759259</v>
      </c>
      <c r="H81" s="151"/>
      <c r="I81" s="154"/>
      <c r="J81" s="154"/>
      <c r="K81" s="154"/>
      <c r="L81" s="147"/>
      <c r="M81" s="153"/>
      <c r="N81" s="147"/>
      <c r="O81" s="141"/>
      <c r="P81" s="141"/>
      <c r="Q81" s="151"/>
      <c r="R81" s="154"/>
      <c r="S81" s="154"/>
    </row>
    <row r="82" ht="33.75" customHeight="1">
      <c r="A82" s="154"/>
      <c r="B82" s="154"/>
      <c r="C82" s="147">
        <f>IFERROR(__xludf.DUMMYFUNCTION("""COMPUTED_VALUE"""),3013041.0)</f>
        <v>3013041</v>
      </c>
      <c r="D82" s="148" t="str">
        <f>IFERROR(__xludf.DUMMYFUNCTION("""COMPUTED_VALUE"""),"High Performance Habits (Blinkist Summary)")</f>
        <v>High Performance Habits (Blinkist Summary)</v>
      </c>
      <c r="E82" s="147" t="str">
        <f>IFERROR(__xludf.DUMMYFUNCTION("""COMPUTED_VALUE"""),"General")</f>
        <v>General</v>
      </c>
      <c r="F82" s="141" t="str">
        <f>IFERROR(__xludf.DUMMYFUNCTION("""COMPUTED_VALUE"""),"General")</f>
        <v>General</v>
      </c>
      <c r="G82" s="143">
        <f>IFERROR(__xludf.DUMMYFUNCTION("""COMPUTED_VALUE"""),0.012280092592592592)</f>
        <v>0.01228009259</v>
      </c>
      <c r="H82" s="151"/>
      <c r="I82" s="154"/>
      <c r="J82" s="154"/>
      <c r="K82" s="154"/>
      <c r="L82" s="147"/>
      <c r="M82" s="153"/>
      <c r="N82" s="147"/>
      <c r="O82" s="141"/>
      <c r="P82" s="141"/>
      <c r="Q82" s="151"/>
      <c r="R82" s="154"/>
      <c r="S82" s="154"/>
    </row>
    <row r="83" ht="33.75" customHeight="1">
      <c r="A83" s="154"/>
      <c r="B83" s="154"/>
      <c r="C83" s="147">
        <f>IFERROR(__xludf.DUMMYFUNCTION("""COMPUTED_VALUE"""),2422438.0)</f>
        <v>2422438</v>
      </c>
      <c r="D83" s="148" t="str">
        <f>IFERROR(__xludf.DUMMYFUNCTION("""COMPUTED_VALUE"""),"Resilience Strategies for Optimal Performance")</f>
        <v>Resilience Strategies for Optimal Performance</v>
      </c>
      <c r="E83" s="147" t="str">
        <f>IFERROR(__xludf.DUMMYFUNCTION("""COMPUTED_VALUE"""),"General")</f>
        <v>General</v>
      </c>
      <c r="F83" s="141" t="str">
        <f>IFERROR(__xludf.DUMMYFUNCTION("""COMPUTED_VALUE"""),"General")</f>
        <v>General</v>
      </c>
      <c r="G83" s="143">
        <f>IFERROR(__xludf.DUMMYFUNCTION("""COMPUTED_VALUE"""),0.04040509259259259)</f>
        <v>0.04040509259</v>
      </c>
      <c r="H83" s="151"/>
      <c r="I83" s="154"/>
      <c r="J83" s="154"/>
      <c r="K83" s="154"/>
      <c r="L83" s="147"/>
      <c r="M83" s="153"/>
      <c r="N83" s="147"/>
      <c r="O83" s="141"/>
      <c r="P83" s="141"/>
      <c r="Q83" s="151"/>
      <c r="R83" s="154"/>
      <c r="S83" s="154"/>
    </row>
    <row r="84" ht="33.75" customHeight="1">
      <c r="A84" s="154"/>
      <c r="B84" s="154"/>
      <c r="C84" s="147">
        <f>IFERROR(__xludf.DUMMYFUNCTION("""COMPUTED_VALUE"""),2423850.0)</f>
        <v>2423850</v>
      </c>
      <c r="D84" s="148" t="str">
        <f>IFERROR(__xludf.DUMMYFUNCTION("""COMPUTED_VALUE"""),"Time Management Fundamentals")</f>
        <v>Time Management Fundamentals</v>
      </c>
      <c r="E84" s="147" t="str">
        <f>IFERROR(__xludf.DUMMYFUNCTION("""COMPUTED_VALUE"""),"General")</f>
        <v>General</v>
      </c>
      <c r="F84" s="141" t="str">
        <f>IFERROR(__xludf.DUMMYFUNCTION("""COMPUTED_VALUE"""),"General")</f>
        <v>General</v>
      </c>
      <c r="G84" s="143">
        <f>IFERROR(__xludf.DUMMYFUNCTION("""COMPUTED_VALUE"""),0.07488425925925926)</f>
        <v>0.07488425926</v>
      </c>
      <c r="H84" s="151"/>
      <c r="I84" s="154"/>
      <c r="J84" s="154"/>
      <c r="K84" s="154"/>
      <c r="L84" s="147"/>
      <c r="M84" s="153"/>
      <c r="N84" s="147"/>
      <c r="O84" s="141"/>
      <c r="P84" s="141"/>
      <c r="Q84" s="151"/>
      <c r="R84" s="154"/>
      <c r="S84" s="154"/>
    </row>
    <row r="85" ht="33.75" customHeight="1">
      <c r="A85" s="154"/>
      <c r="B85" s="154"/>
      <c r="C85" s="147">
        <f>IFERROR(__xludf.DUMMYFUNCTION("""COMPUTED_VALUE"""),185320.0)</f>
        <v>185320</v>
      </c>
      <c r="D85" s="148" t="str">
        <f>IFERROR(__xludf.DUMMYFUNCTION("""COMPUTED_VALUE"""),"Developing Resourcefulness")</f>
        <v>Developing Resourcefulness</v>
      </c>
      <c r="E85" s="147" t="str">
        <f>IFERROR(__xludf.DUMMYFUNCTION("""COMPUTED_VALUE"""),"General")</f>
        <v>General</v>
      </c>
      <c r="F85" s="141" t="str">
        <f>IFERROR(__xludf.DUMMYFUNCTION("""COMPUTED_VALUE"""),"Intermediate")</f>
        <v>Intermediate</v>
      </c>
      <c r="G85" s="143">
        <f>IFERROR(__xludf.DUMMYFUNCTION("""COMPUTED_VALUE"""),0.012523148148148148)</f>
        <v>0.01252314815</v>
      </c>
      <c r="H85" s="151"/>
      <c r="I85" s="154"/>
      <c r="J85" s="154"/>
      <c r="K85" s="154"/>
      <c r="L85" s="147"/>
      <c r="M85" s="153"/>
      <c r="N85" s="147"/>
      <c r="O85" s="141"/>
      <c r="P85" s="141"/>
      <c r="Q85" s="151"/>
      <c r="R85" s="154"/>
      <c r="S85" s="154"/>
    </row>
    <row r="86" ht="33.75" customHeight="1">
      <c r="A86" s="154"/>
      <c r="B86" s="154"/>
      <c r="C86" s="147"/>
      <c r="D86" s="153"/>
      <c r="E86" s="147"/>
      <c r="F86" s="141"/>
      <c r="G86" s="141"/>
      <c r="H86" s="151"/>
      <c r="I86" s="154"/>
      <c r="J86" s="154"/>
      <c r="K86" s="154"/>
      <c r="L86" s="147"/>
      <c r="M86" s="153"/>
      <c r="N86" s="147"/>
      <c r="O86" s="141"/>
      <c r="P86" s="141"/>
      <c r="Q86" s="151"/>
      <c r="R86" s="154"/>
      <c r="S86" s="154"/>
    </row>
    <row r="87" ht="33.75" customHeight="1">
      <c r="A87" s="154"/>
      <c r="B87" s="154"/>
      <c r="C87" s="147"/>
      <c r="D87" s="153"/>
      <c r="E87" s="147"/>
      <c r="F87" s="141"/>
      <c r="G87" s="141"/>
      <c r="H87" s="151"/>
      <c r="I87" s="154"/>
      <c r="J87" s="154"/>
      <c r="K87" s="154"/>
      <c r="L87" s="147"/>
      <c r="M87" s="153"/>
      <c r="N87" s="147"/>
      <c r="O87" s="141"/>
      <c r="P87" s="141"/>
      <c r="Q87" s="151"/>
      <c r="R87" s="154"/>
      <c r="S87" s="154"/>
    </row>
    <row r="88" ht="33.75" customHeight="1">
      <c r="A88" s="154"/>
      <c r="B88" s="154"/>
      <c r="C88" s="147"/>
      <c r="D88" s="153"/>
      <c r="E88" s="147"/>
      <c r="F88" s="141"/>
      <c r="G88" s="141"/>
      <c r="H88" s="151"/>
      <c r="I88" s="154"/>
      <c r="J88" s="154"/>
      <c r="K88" s="154"/>
      <c r="L88" s="147"/>
      <c r="M88" s="153"/>
      <c r="N88" s="147"/>
      <c r="O88" s="141"/>
      <c r="P88" s="141"/>
      <c r="Q88" s="151"/>
      <c r="R88" s="154"/>
      <c r="S88" s="154"/>
    </row>
    <row r="89" ht="33.75" customHeight="1">
      <c r="A89" s="154"/>
      <c r="B89" s="154"/>
      <c r="C89" s="147"/>
      <c r="D89" s="153"/>
      <c r="E89" s="147"/>
      <c r="F89" s="141"/>
      <c r="G89" s="141"/>
      <c r="H89" s="151"/>
      <c r="I89" s="154"/>
      <c r="J89" s="154"/>
      <c r="K89" s="154"/>
      <c r="L89" s="147"/>
      <c r="M89" s="153"/>
      <c r="N89" s="147"/>
      <c r="O89" s="141"/>
      <c r="P89" s="141"/>
      <c r="Q89" s="151"/>
      <c r="R89" s="154"/>
      <c r="S89" s="154"/>
    </row>
    <row r="90">
      <c r="A90" s="154"/>
      <c r="B90" s="154"/>
      <c r="C90" s="147"/>
      <c r="D90" s="153"/>
      <c r="E90" s="147"/>
      <c r="F90" s="147"/>
      <c r="G90" s="147"/>
      <c r="H90" s="151"/>
      <c r="I90" s="154"/>
      <c r="J90" s="154"/>
      <c r="K90" s="154"/>
      <c r="L90" s="155"/>
      <c r="M90" s="156"/>
      <c r="N90" s="155"/>
      <c r="O90" s="155"/>
      <c r="P90" s="155"/>
      <c r="Q90" s="157"/>
      <c r="R90" s="154"/>
      <c r="S90" s="154"/>
    </row>
    <row r="91">
      <c r="A91" s="154"/>
      <c r="B91" s="154"/>
      <c r="C91" s="147"/>
      <c r="D91" s="153"/>
      <c r="E91" s="147"/>
      <c r="F91" s="147"/>
      <c r="G91" s="147"/>
      <c r="H91" s="151"/>
      <c r="I91" s="154"/>
      <c r="J91" s="154"/>
      <c r="K91" s="154"/>
      <c r="L91" s="155"/>
      <c r="M91" s="156"/>
      <c r="N91" s="155"/>
      <c r="O91" s="155"/>
      <c r="P91" s="155"/>
      <c r="Q91" s="157"/>
      <c r="R91" s="154"/>
      <c r="S91" s="154"/>
    </row>
    <row r="92">
      <c r="A92" s="154"/>
      <c r="B92" s="154"/>
      <c r="C92" s="147"/>
      <c r="D92" s="153"/>
      <c r="E92" s="147"/>
      <c r="F92" s="147"/>
      <c r="G92" s="147"/>
      <c r="H92" s="151"/>
      <c r="I92" s="154"/>
      <c r="J92" s="154"/>
      <c r="K92" s="154"/>
      <c r="L92" s="155"/>
      <c r="M92" s="156"/>
      <c r="N92" s="155"/>
      <c r="O92" s="155"/>
      <c r="P92" s="155"/>
      <c r="Q92" s="157"/>
      <c r="R92" s="154"/>
      <c r="S92" s="154"/>
    </row>
    <row r="93">
      <c r="A93" s="154"/>
      <c r="B93" s="154"/>
      <c r="C93" s="147"/>
      <c r="D93" s="153"/>
      <c r="E93" s="147"/>
      <c r="F93" s="147"/>
      <c r="G93" s="147"/>
      <c r="H93" s="151"/>
      <c r="I93" s="154"/>
      <c r="J93" s="154"/>
      <c r="K93" s="154"/>
      <c r="L93" s="155"/>
      <c r="M93" s="156"/>
      <c r="N93" s="155"/>
      <c r="O93" s="155"/>
      <c r="P93" s="155"/>
      <c r="Q93" s="157"/>
      <c r="R93" s="154"/>
      <c r="S93" s="154"/>
    </row>
    <row r="94">
      <c r="A94" s="154"/>
      <c r="B94" s="154"/>
      <c r="C94" s="147"/>
      <c r="D94" s="153"/>
      <c r="E94" s="147"/>
      <c r="F94" s="147"/>
      <c r="G94" s="147"/>
      <c r="H94" s="151"/>
      <c r="I94" s="154"/>
      <c r="J94" s="154"/>
      <c r="K94" s="154"/>
      <c r="L94" s="155"/>
      <c r="M94" s="156"/>
      <c r="N94" s="155"/>
      <c r="O94" s="155"/>
      <c r="P94" s="155"/>
      <c r="Q94" s="157"/>
      <c r="R94" s="154"/>
      <c r="S94" s="154"/>
    </row>
    <row r="95">
      <c r="A95" s="154"/>
      <c r="B95" s="154"/>
      <c r="C95" s="147"/>
      <c r="D95" s="153"/>
      <c r="E95" s="147"/>
      <c r="F95" s="147"/>
      <c r="G95" s="147"/>
      <c r="H95" s="151"/>
      <c r="I95" s="154"/>
      <c r="J95" s="154"/>
      <c r="K95" s="154"/>
      <c r="L95" s="155"/>
      <c r="M95" s="156"/>
      <c r="N95" s="155"/>
      <c r="O95" s="155"/>
      <c r="P95" s="155"/>
      <c r="Q95" s="157"/>
      <c r="R95" s="154"/>
      <c r="S95" s="154"/>
    </row>
    <row r="96">
      <c r="A96" s="154"/>
      <c r="B96" s="154"/>
      <c r="C96" s="147"/>
      <c r="D96" s="153"/>
      <c r="E96" s="147"/>
      <c r="F96" s="147"/>
      <c r="G96" s="147"/>
      <c r="H96" s="151"/>
      <c r="I96" s="154"/>
      <c r="J96" s="154"/>
      <c r="K96" s="154"/>
      <c r="L96" s="155"/>
      <c r="M96" s="156"/>
      <c r="N96" s="155"/>
      <c r="O96" s="155"/>
      <c r="P96" s="155"/>
      <c r="Q96" s="157"/>
      <c r="R96" s="154"/>
      <c r="S96" s="154"/>
    </row>
    <row r="97">
      <c r="A97" s="154"/>
      <c r="B97" s="154"/>
      <c r="C97" s="147"/>
      <c r="D97" s="153"/>
      <c r="E97" s="147"/>
      <c r="F97" s="147"/>
      <c r="G97" s="147"/>
      <c r="H97" s="151"/>
      <c r="I97" s="154"/>
      <c r="J97" s="154"/>
      <c r="K97" s="154"/>
      <c r="L97" s="155"/>
      <c r="M97" s="156"/>
      <c r="N97" s="155"/>
      <c r="O97" s="155"/>
      <c r="P97" s="155"/>
      <c r="Q97" s="157"/>
      <c r="R97" s="154"/>
      <c r="S97" s="154"/>
    </row>
    <row r="98">
      <c r="A98" s="154"/>
      <c r="B98" s="154"/>
      <c r="C98" s="147"/>
      <c r="D98" s="153"/>
      <c r="E98" s="147"/>
      <c r="F98" s="147"/>
      <c r="G98" s="147"/>
      <c r="H98" s="151"/>
      <c r="I98" s="154"/>
      <c r="J98" s="154"/>
      <c r="K98" s="154"/>
      <c r="L98" s="155"/>
      <c r="M98" s="156"/>
      <c r="N98" s="155"/>
      <c r="O98" s="155"/>
      <c r="P98" s="155"/>
      <c r="Q98" s="157"/>
      <c r="R98" s="154"/>
      <c r="S98" s="154"/>
    </row>
    <row r="99">
      <c r="A99" s="154"/>
      <c r="B99" s="154"/>
      <c r="C99" s="155"/>
      <c r="D99" s="156"/>
      <c r="E99" s="155"/>
      <c r="F99" s="155"/>
      <c r="G99" s="155"/>
      <c r="H99" s="157"/>
      <c r="I99" s="154"/>
      <c r="J99" s="154"/>
      <c r="K99" s="154"/>
      <c r="L99" s="155"/>
      <c r="M99" s="156"/>
      <c r="N99" s="155"/>
      <c r="O99" s="155"/>
      <c r="P99" s="155"/>
      <c r="Q99" s="157"/>
      <c r="R99" s="154"/>
      <c r="S99" s="154"/>
    </row>
    <row r="100">
      <c r="A100" s="154"/>
      <c r="B100" s="154"/>
      <c r="C100" s="155"/>
      <c r="D100" s="156"/>
      <c r="E100" s="155"/>
      <c r="F100" s="155"/>
      <c r="G100" s="155"/>
      <c r="H100" s="157"/>
      <c r="I100" s="154"/>
      <c r="J100" s="154"/>
      <c r="K100" s="154"/>
      <c r="L100" s="155"/>
      <c r="M100" s="156"/>
      <c r="N100" s="155"/>
      <c r="O100" s="155"/>
      <c r="P100" s="155"/>
      <c r="Q100" s="157"/>
      <c r="R100" s="154"/>
      <c r="S100" s="154"/>
    </row>
    <row r="101">
      <c r="A101" s="154"/>
      <c r="B101" s="154"/>
      <c r="C101" s="155"/>
      <c r="D101" s="156"/>
      <c r="E101" s="155"/>
      <c r="F101" s="155"/>
      <c r="G101" s="155"/>
      <c r="H101" s="157"/>
      <c r="I101" s="154"/>
      <c r="J101" s="154"/>
      <c r="K101" s="154"/>
      <c r="L101" s="155"/>
      <c r="M101" s="156"/>
      <c r="N101" s="155"/>
      <c r="O101" s="155"/>
      <c r="P101" s="155"/>
      <c r="Q101" s="157"/>
      <c r="R101" s="154"/>
      <c r="S101" s="154"/>
    </row>
    <row r="102">
      <c r="A102" s="154"/>
      <c r="B102" s="154"/>
      <c r="C102" s="155"/>
      <c r="D102" s="156"/>
      <c r="E102" s="155"/>
      <c r="F102" s="155"/>
      <c r="G102" s="155"/>
      <c r="H102" s="157"/>
      <c r="I102" s="154"/>
      <c r="J102" s="154"/>
      <c r="K102" s="154"/>
      <c r="L102" s="155"/>
      <c r="M102" s="156"/>
      <c r="N102" s="155"/>
      <c r="O102" s="155"/>
      <c r="P102" s="155"/>
      <c r="Q102" s="157"/>
      <c r="R102" s="154"/>
      <c r="S102" s="154"/>
    </row>
    <row r="103">
      <c r="A103" s="154"/>
      <c r="B103" s="154"/>
      <c r="C103" s="155"/>
      <c r="D103" s="156"/>
      <c r="E103" s="155"/>
      <c r="F103" s="155"/>
      <c r="G103" s="155"/>
      <c r="H103" s="157"/>
      <c r="I103" s="154"/>
      <c r="J103" s="154"/>
      <c r="K103" s="154"/>
      <c r="L103" s="155"/>
      <c r="M103" s="156"/>
      <c r="N103" s="155"/>
      <c r="O103" s="155"/>
      <c r="P103" s="155"/>
      <c r="Q103" s="157"/>
      <c r="R103" s="154"/>
      <c r="S103" s="154"/>
    </row>
    <row r="104">
      <c r="A104" s="154"/>
      <c r="B104" s="154"/>
      <c r="C104" s="155"/>
      <c r="D104" s="156"/>
      <c r="E104" s="155"/>
      <c r="F104" s="155"/>
      <c r="G104" s="155"/>
      <c r="H104" s="157"/>
      <c r="I104" s="154"/>
      <c r="J104" s="154"/>
      <c r="K104" s="154"/>
      <c r="L104" s="155"/>
      <c r="M104" s="156"/>
      <c r="N104" s="155"/>
      <c r="O104" s="155"/>
      <c r="P104" s="155"/>
      <c r="Q104" s="157"/>
      <c r="R104" s="154"/>
      <c r="S104" s="154"/>
    </row>
    <row r="105">
      <c r="A105" s="154"/>
      <c r="B105" s="154"/>
      <c r="C105" s="155"/>
      <c r="D105" s="156"/>
      <c r="E105" s="155"/>
      <c r="F105" s="155"/>
      <c r="G105" s="155"/>
      <c r="H105" s="157"/>
      <c r="I105" s="154"/>
      <c r="J105" s="154"/>
      <c r="K105" s="154"/>
      <c r="L105" s="155"/>
      <c r="M105" s="156"/>
      <c r="N105" s="155"/>
      <c r="O105" s="155"/>
      <c r="P105" s="155"/>
      <c r="Q105" s="157"/>
      <c r="R105" s="154"/>
      <c r="S105" s="154"/>
    </row>
    <row r="106">
      <c r="A106" s="154"/>
      <c r="B106" s="154"/>
      <c r="C106" s="155"/>
      <c r="D106" s="156"/>
      <c r="E106" s="155"/>
      <c r="F106" s="155"/>
      <c r="G106" s="155"/>
      <c r="H106" s="157"/>
      <c r="I106" s="154"/>
      <c r="J106" s="154"/>
      <c r="K106" s="154"/>
      <c r="L106" s="155"/>
      <c r="M106" s="156"/>
      <c r="N106" s="155"/>
      <c r="O106" s="155"/>
      <c r="P106" s="155"/>
      <c r="Q106" s="157"/>
      <c r="R106" s="154"/>
      <c r="S106" s="154"/>
    </row>
    <row r="107">
      <c r="A107" s="154"/>
      <c r="B107" s="154"/>
      <c r="C107" s="155"/>
      <c r="D107" s="156"/>
      <c r="E107" s="155"/>
      <c r="F107" s="155"/>
      <c r="G107" s="155"/>
      <c r="H107" s="157"/>
      <c r="I107" s="154"/>
      <c r="J107" s="154"/>
      <c r="K107" s="154"/>
      <c r="L107" s="155"/>
      <c r="M107" s="156"/>
      <c r="N107" s="155"/>
      <c r="O107" s="155"/>
      <c r="P107" s="155"/>
      <c r="Q107" s="157"/>
      <c r="R107" s="154"/>
      <c r="S107" s="154"/>
    </row>
    <row r="108">
      <c r="A108" s="154"/>
      <c r="B108" s="154"/>
      <c r="C108" s="155"/>
      <c r="D108" s="156"/>
      <c r="E108" s="155"/>
      <c r="F108" s="155"/>
      <c r="G108" s="155"/>
      <c r="H108" s="157"/>
      <c r="I108" s="154"/>
      <c r="J108" s="154"/>
      <c r="K108" s="154"/>
      <c r="L108" s="155"/>
      <c r="M108" s="156"/>
      <c r="N108" s="155"/>
      <c r="O108" s="155"/>
      <c r="P108" s="155"/>
      <c r="Q108" s="157"/>
      <c r="R108" s="154"/>
      <c r="S108" s="154"/>
    </row>
    <row r="109">
      <c r="A109" s="154"/>
      <c r="B109" s="154"/>
      <c r="C109" s="155"/>
      <c r="D109" s="156"/>
      <c r="E109" s="155"/>
      <c r="F109" s="155"/>
      <c r="G109" s="155"/>
      <c r="H109" s="157"/>
      <c r="I109" s="154"/>
      <c r="J109" s="154"/>
      <c r="K109" s="154"/>
      <c r="L109" s="155"/>
      <c r="M109" s="156"/>
      <c r="N109" s="155"/>
      <c r="O109" s="155"/>
      <c r="P109" s="155"/>
      <c r="Q109" s="157"/>
      <c r="R109" s="154"/>
      <c r="S109" s="154"/>
    </row>
    <row r="110">
      <c r="A110" s="154"/>
      <c r="B110" s="154"/>
      <c r="C110" s="155"/>
      <c r="D110" s="156"/>
      <c r="E110" s="155"/>
      <c r="F110" s="155"/>
      <c r="G110" s="155"/>
      <c r="H110" s="157"/>
      <c r="I110" s="154"/>
      <c r="J110" s="154"/>
      <c r="K110" s="154"/>
      <c r="L110" s="155"/>
      <c r="M110" s="156"/>
      <c r="N110" s="155"/>
      <c r="O110" s="155"/>
      <c r="P110" s="155"/>
      <c r="Q110" s="157"/>
      <c r="R110" s="154"/>
      <c r="S110" s="154"/>
    </row>
    <row r="111">
      <c r="A111" s="154"/>
      <c r="B111" s="154"/>
      <c r="C111" s="155"/>
      <c r="D111" s="156"/>
      <c r="E111" s="155"/>
      <c r="F111" s="155"/>
      <c r="G111" s="155"/>
      <c r="H111" s="157"/>
      <c r="I111" s="154"/>
      <c r="J111" s="154"/>
      <c r="K111" s="154"/>
      <c r="L111" s="155"/>
      <c r="M111" s="156"/>
      <c r="N111" s="155"/>
      <c r="O111" s="155"/>
      <c r="P111" s="155"/>
      <c r="Q111" s="157"/>
      <c r="R111" s="154"/>
      <c r="S111" s="154"/>
    </row>
    <row r="112">
      <c r="A112" s="154"/>
      <c r="B112" s="154"/>
      <c r="C112" s="155"/>
      <c r="D112" s="156"/>
      <c r="E112" s="155"/>
      <c r="F112" s="155"/>
      <c r="G112" s="155"/>
      <c r="H112" s="157"/>
      <c r="I112" s="154"/>
      <c r="J112" s="154"/>
      <c r="K112" s="154"/>
      <c r="L112" s="155"/>
      <c r="M112" s="156"/>
      <c r="N112" s="155"/>
      <c r="O112" s="155"/>
      <c r="P112" s="155"/>
      <c r="Q112" s="157"/>
      <c r="R112" s="154"/>
      <c r="S112" s="154"/>
    </row>
    <row r="113">
      <c r="A113" s="154"/>
      <c r="B113" s="154"/>
      <c r="C113" s="155"/>
      <c r="D113" s="156"/>
      <c r="E113" s="155"/>
      <c r="F113" s="155"/>
      <c r="G113" s="155"/>
      <c r="H113" s="157"/>
      <c r="I113" s="154"/>
      <c r="J113" s="154"/>
      <c r="K113" s="154"/>
      <c r="L113" s="155"/>
      <c r="M113" s="156"/>
      <c r="N113" s="155"/>
      <c r="O113" s="155"/>
      <c r="P113" s="155"/>
      <c r="Q113" s="157"/>
      <c r="R113" s="154"/>
      <c r="S113" s="154"/>
    </row>
    <row r="114">
      <c r="A114" s="154"/>
      <c r="B114" s="154"/>
      <c r="C114" s="155"/>
      <c r="D114" s="156"/>
      <c r="E114" s="155"/>
      <c r="F114" s="155"/>
      <c r="G114" s="155"/>
      <c r="H114" s="157"/>
      <c r="I114" s="154"/>
      <c r="J114" s="154"/>
      <c r="K114" s="154"/>
      <c r="L114" s="155"/>
      <c r="M114" s="156"/>
      <c r="N114" s="155"/>
      <c r="O114" s="155"/>
      <c r="P114" s="155"/>
      <c r="Q114" s="157"/>
      <c r="R114" s="154"/>
      <c r="S114" s="154"/>
    </row>
    <row r="115">
      <c r="A115" s="154"/>
      <c r="B115" s="154"/>
      <c r="C115" s="155"/>
      <c r="D115" s="156"/>
      <c r="E115" s="155"/>
      <c r="F115" s="155"/>
      <c r="G115" s="155"/>
      <c r="H115" s="157"/>
      <c r="I115" s="154"/>
      <c r="J115" s="154"/>
      <c r="K115" s="154"/>
      <c r="L115" s="155"/>
      <c r="M115" s="156"/>
      <c r="N115" s="155"/>
      <c r="O115" s="155"/>
      <c r="P115" s="155"/>
      <c r="Q115" s="157"/>
      <c r="R115" s="154"/>
      <c r="S115" s="154"/>
    </row>
    <row r="116">
      <c r="A116" s="154"/>
      <c r="B116" s="154"/>
      <c r="C116" s="155"/>
      <c r="D116" s="156"/>
      <c r="E116" s="155"/>
      <c r="F116" s="155"/>
      <c r="G116" s="155"/>
      <c r="H116" s="157"/>
      <c r="I116" s="154"/>
      <c r="J116" s="154"/>
      <c r="K116" s="154"/>
      <c r="L116" s="155"/>
      <c r="M116" s="156"/>
      <c r="N116" s="155"/>
      <c r="O116" s="155"/>
      <c r="P116" s="155"/>
      <c r="Q116" s="157"/>
      <c r="R116" s="154"/>
      <c r="S116" s="154"/>
    </row>
    <row r="117">
      <c r="A117" s="154"/>
      <c r="B117" s="154"/>
      <c r="C117" s="155"/>
      <c r="D117" s="156"/>
      <c r="E117" s="155"/>
      <c r="F117" s="155"/>
      <c r="G117" s="155"/>
      <c r="H117" s="157"/>
      <c r="I117" s="154"/>
      <c r="J117" s="154"/>
      <c r="K117" s="154"/>
      <c r="L117" s="155"/>
      <c r="M117" s="156"/>
      <c r="N117" s="155"/>
      <c r="O117" s="155"/>
      <c r="P117" s="155"/>
      <c r="Q117" s="157"/>
      <c r="R117" s="154"/>
      <c r="S117" s="154"/>
    </row>
    <row r="118">
      <c r="A118" s="154"/>
      <c r="B118" s="154"/>
      <c r="C118" s="155"/>
      <c r="D118" s="156"/>
      <c r="E118" s="155"/>
      <c r="F118" s="155"/>
      <c r="G118" s="155"/>
      <c r="H118" s="157"/>
      <c r="I118" s="154"/>
      <c r="J118" s="154"/>
      <c r="K118" s="154"/>
      <c r="L118" s="155"/>
      <c r="M118" s="156"/>
      <c r="N118" s="155"/>
      <c r="O118" s="155"/>
      <c r="P118" s="155"/>
      <c r="Q118" s="157"/>
      <c r="R118" s="154"/>
      <c r="S118" s="154"/>
    </row>
    <row r="119">
      <c r="A119" s="154"/>
      <c r="B119" s="154"/>
      <c r="C119" s="155"/>
      <c r="D119" s="156"/>
      <c r="E119" s="155"/>
      <c r="F119" s="155"/>
      <c r="G119" s="155"/>
      <c r="H119" s="157"/>
      <c r="I119" s="154"/>
      <c r="J119" s="154"/>
      <c r="K119" s="154"/>
      <c r="L119" s="155"/>
      <c r="M119" s="156"/>
      <c r="N119" s="155"/>
      <c r="O119" s="155"/>
      <c r="P119" s="155"/>
      <c r="Q119" s="157"/>
      <c r="R119" s="154"/>
      <c r="S119" s="154"/>
    </row>
    <row r="120">
      <c r="A120" s="154"/>
      <c r="B120" s="154"/>
      <c r="C120" s="155"/>
      <c r="D120" s="156"/>
      <c r="E120" s="155"/>
      <c r="F120" s="155"/>
      <c r="G120" s="155"/>
      <c r="H120" s="157"/>
      <c r="I120" s="154"/>
      <c r="J120" s="154"/>
      <c r="K120" s="154"/>
      <c r="L120" s="155"/>
      <c r="M120" s="156"/>
      <c r="N120" s="155"/>
      <c r="O120" s="155"/>
      <c r="P120" s="155"/>
      <c r="Q120" s="157"/>
      <c r="R120" s="154"/>
      <c r="S120" s="154"/>
    </row>
    <row r="121">
      <c r="A121" s="154"/>
      <c r="B121" s="154"/>
      <c r="C121" s="155"/>
      <c r="D121" s="156"/>
      <c r="E121" s="155"/>
      <c r="F121" s="155"/>
      <c r="G121" s="155"/>
      <c r="H121" s="157"/>
      <c r="I121" s="154"/>
      <c r="J121" s="154"/>
      <c r="K121" s="154"/>
      <c r="L121" s="155"/>
      <c r="M121" s="156"/>
      <c r="N121" s="155"/>
      <c r="O121" s="155"/>
      <c r="P121" s="155"/>
      <c r="Q121" s="157"/>
      <c r="R121" s="154"/>
      <c r="S121" s="154"/>
    </row>
    <row r="122">
      <c r="A122" s="154"/>
      <c r="B122" s="154"/>
      <c r="C122" s="155"/>
      <c r="D122" s="156"/>
      <c r="E122" s="155"/>
      <c r="F122" s="155"/>
      <c r="G122" s="155"/>
      <c r="H122" s="157"/>
      <c r="I122" s="154"/>
      <c r="J122" s="154"/>
      <c r="K122" s="154"/>
      <c r="L122" s="155"/>
      <c r="M122" s="156"/>
      <c r="N122" s="155"/>
      <c r="O122" s="155"/>
      <c r="P122" s="155"/>
      <c r="Q122" s="157"/>
      <c r="R122" s="154"/>
      <c r="S122" s="154"/>
    </row>
    <row r="123">
      <c r="A123" s="154"/>
      <c r="B123" s="154"/>
      <c r="C123" s="155"/>
      <c r="D123" s="156"/>
      <c r="E123" s="155"/>
      <c r="F123" s="155"/>
      <c r="G123" s="155"/>
      <c r="H123" s="157"/>
      <c r="I123" s="154"/>
      <c r="J123" s="154"/>
      <c r="K123" s="154"/>
      <c r="L123" s="155"/>
      <c r="M123" s="156"/>
      <c r="N123" s="155"/>
      <c r="O123" s="155"/>
      <c r="P123" s="155"/>
      <c r="Q123" s="157"/>
      <c r="R123" s="154"/>
      <c r="S123" s="154"/>
    </row>
    <row r="124">
      <c r="A124" s="154"/>
      <c r="B124" s="154"/>
      <c r="C124" s="155"/>
      <c r="D124" s="156"/>
      <c r="E124" s="155"/>
      <c r="F124" s="155"/>
      <c r="G124" s="155"/>
      <c r="H124" s="157"/>
      <c r="I124" s="154"/>
      <c r="J124" s="154"/>
      <c r="K124" s="154"/>
      <c r="L124" s="155"/>
      <c r="M124" s="156"/>
      <c r="N124" s="155"/>
      <c r="O124" s="155"/>
      <c r="P124" s="155"/>
      <c r="Q124" s="157"/>
      <c r="R124" s="154"/>
      <c r="S124" s="154"/>
    </row>
    <row r="125">
      <c r="A125" s="154"/>
      <c r="B125" s="154"/>
      <c r="C125" s="155"/>
      <c r="D125" s="156"/>
      <c r="E125" s="155"/>
      <c r="F125" s="155"/>
      <c r="G125" s="155"/>
      <c r="H125" s="157"/>
      <c r="I125" s="154"/>
      <c r="J125" s="154"/>
      <c r="K125" s="154"/>
      <c r="L125" s="155"/>
      <c r="M125" s="156"/>
      <c r="N125" s="155"/>
      <c r="O125" s="155"/>
      <c r="P125" s="155"/>
      <c r="Q125" s="157"/>
      <c r="R125" s="154"/>
      <c r="S125" s="154"/>
    </row>
    <row r="126">
      <c r="A126" s="154"/>
      <c r="B126" s="154"/>
      <c r="C126" s="155"/>
      <c r="D126" s="156"/>
      <c r="E126" s="155"/>
      <c r="F126" s="155"/>
      <c r="G126" s="155"/>
      <c r="H126" s="157"/>
      <c r="I126" s="154"/>
      <c r="J126" s="154"/>
      <c r="K126" s="154"/>
      <c r="L126" s="155"/>
      <c r="M126" s="156"/>
      <c r="N126" s="155"/>
      <c r="O126" s="155"/>
      <c r="P126" s="155"/>
      <c r="Q126" s="157"/>
      <c r="R126" s="154"/>
      <c r="S126" s="154"/>
    </row>
    <row r="127">
      <c r="A127" s="154"/>
      <c r="B127" s="154"/>
      <c r="C127" s="155"/>
      <c r="D127" s="156"/>
      <c r="E127" s="155"/>
      <c r="F127" s="155"/>
      <c r="G127" s="155"/>
      <c r="H127" s="157"/>
      <c r="I127" s="154"/>
      <c r="J127" s="154"/>
      <c r="K127" s="154"/>
      <c r="L127" s="155"/>
      <c r="M127" s="156"/>
      <c r="N127" s="155"/>
      <c r="O127" s="155"/>
      <c r="P127" s="155"/>
      <c r="Q127" s="157"/>
      <c r="R127" s="154"/>
      <c r="S127" s="154"/>
    </row>
    <row r="128">
      <c r="A128" s="154"/>
      <c r="B128" s="154"/>
      <c r="C128" s="155"/>
      <c r="D128" s="156"/>
      <c r="E128" s="155"/>
      <c r="F128" s="155"/>
      <c r="G128" s="155"/>
      <c r="H128" s="157"/>
      <c r="I128" s="154"/>
      <c r="J128" s="154"/>
      <c r="K128" s="154"/>
      <c r="L128" s="155"/>
      <c r="M128" s="156"/>
      <c r="N128" s="155"/>
      <c r="O128" s="155"/>
      <c r="P128" s="155"/>
      <c r="Q128" s="157"/>
      <c r="R128" s="154"/>
      <c r="S128" s="154"/>
    </row>
    <row r="129">
      <c r="A129" s="154"/>
      <c r="B129" s="154"/>
      <c r="C129" s="155"/>
      <c r="D129" s="156"/>
      <c r="E129" s="155"/>
      <c r="F129" s="155"/>
      <c r="G129" s="155"/>
      <c r="H129" s="157"/>
      <c r="I129" s="154"/>
      <c r="J129" s="154"/>
      <c r="K129" s="154"/>
      <c r="L129" s="155"/>
      <c r="M129" s="156"/>
      <c r="N129" s="155"/>
      <c r="O129" s="155"/>
      <c r="P129" s="155"/>
      <c r="Q129" s="157"/>
      <c r="R129" s="154"/>
      <c r="S129" s="154"/>
    </row>
    <row r="130">
      <c r="A130" s="154"/>
      <c r="B130" s="154"/>
      <c r="C130" s="155"/>
      <c r="D130" s="156"/>
      <c r="E130" s="155"/>
      <c r="F130" s="155"/>
      <c r="G130" s="155"/>
      <c r="H130" s="157"/>
      <c r="I130" s="154"/>
      <c r="J130" s="154"/>
      <c r="K130" s="154"/>
      <c r="L130" s="155"/>
      <c r="M130" s="156"/>
      <c r="N130" s="155"/>
      <c r="O130" s="155"/>
      <c r="P130" s="155"/>
      <c r="Q130" s="157"/>
      <c r="R130" s="154"/>
      <c r="S130" s="154"/>
    </row>
    <row r="131">
      <c r="A131" s="154"/>
      <c r="B131" s="154"/>
      <c r="C131" s="155"/>
      <c r="D131" s="156"/>
      <c r="E131" s="155"/>
      <c r="F131" s="155"/>
      <c r="G131" s="155"/>
      <c r="H131" s="157"/>
      <c r="I131" s="154"/>
      <c r="J131" s="154"/>
      <c r="K131" s="154"/>
      <c r="L131" s="155"/>
      <c r="M131" s="156"/>
      <c r="N131" s="155"/>
      <c r="O131" s="155"/>
      <c r="P131" s="155"/>
      <c r="Q131" s="157"/>
      <c r="R131" s="154"/>
      <c r="S131" s="154"/>
    </row>
    <row r="132">
      <c r="A132" s="154"/>
      <c r="B132" s="154"/>
      <c r="C132" s="155"/>
      <c r="D132" s="156"/>
      <c r="E132" s="155"/>
      <c r="F132" s="155"/>
      <c r="G132" s="155"/>
      <c r="H132" s="157"/>
      <c r="I132" s="154"/>
      <c r="J132" s="154"/>
      <c r="K132" s="154"/>
      <c r="L132" s="155"/>
      <c r="M132" s="156"/>
      <c r="N132" s="155"/>
      <c r="O132" s="155"/>
      <c r="P132" s="155"/>
      <c r="Q132" s="157"/>
      <c r="R132" s="154"/>
      <c r="S132" s="154"/>
    </row>
    <row r="133">
      <c r="A133" s="154"/>
      <c r="B133" s="154"/>
      <c r="C133" s="155"/>
      <c r="D133" s="156"/>
      <c r="E133" s="155"/>
      <c r="F133" s="155"/>
      <c r="G133" s="155"/>
      <c r="H133" s="157"/>
      <c r="I133" s="154"/>
      <c r="J133" s="154"/>
      <c r="K133" s="154"/>
      <c r="L133" s="155"/>
      <c r="M133" s="156"/>
      <c r="N133" s="155"/>
      <c r="O133" s="155"/>
      <c r="P133" s="155"/>
      <c r="Q133" s="157"/>
      <c r="R133" s="154"/>
      <c r="S133" s="154"/>
    </row>
    <row r="134">
      <c r="A134" s="154"/>
      <c r="B134" s="154"/>
      <c r="C134" s="155"/>
      <c r="D134" s="156"/>
      <c r="E134" s="155"/>
      <c r="F134" s="155"/>
      <c r="G134" s="155"/>
      <c r="H134" s="157"/>
      <c r="I134" s="154"/>
      <c r="J134" s="154"/>
      <c r="K134" s="154"/>
      <c r="L134" s="155"/>
      <c r="M134" s="156"/>
      <c r="N134" s="155"/>
      <c r="O134" s="155"/>
      <c r="P134" s="155"/>
      <c r="Q134" s="157"/>
      <c r="R134" s="154"/>
      <c r="S134" s="154"/>
    </row>
    <row r="135">
      <c r="A135" s="154"/>
      <c r="B135" s="154"/>
      <c r="C135" s="155"/>
      <c r="D135" s="156"/>
      <c r="E135" s="155"/>
      <c r="F135" s="155"/>
      <c r="G135" s="155"/>
      <c r="H135" s="157"/>
      <c r="I135" s="154"/>
      <c r="J135" s="154"/>
      <c r="K135" s="154"/>
      <c r="L135" s="155"/>
      <c r="M135" s="156"/>
      <c r="N135" s="155"/>
      <c r="O135" s="155"/>
      <c r="P135" s="155"/>
      <c r="Q135" s="157"/>
      <c r="R135" s="154"/>
      <c r="S135" s="154"/>
    </row>
    <row r="136">
      <c r="A136" s="154"/>
      <c r="B136" s="154"/>
      <c r="C136" s="155"/>
      <c r="D136" s="156"/>
      <c r="E136" s="155"/>
      <c r="F136" s="155"/>
      <c r="G136" s="155"/>
      <c r="H136" s="157"/>
      <c r="I136" s="154"/>
      <c r="J136" s="154"/>
      <c r="K136" s="154"/>
      <c r="L136" s="155"/>
      <c r="M136" s="156"/>
      <c r="N136" s="155"/>
      <c r="O136" s="155"/>
      <c r="P136" s="155"/>
      <c r="Q136" s="157"/>
      <c r="R136" s="154"/>
      <c r="S136" s="154"/>
    </row>
    <row r="137">
      <c r="A137" s="154"/>
      <c r="B137" s="154"/>
      <c r="C137" s="155"/>
      <c r="D137" s="156"/>
      <c r="E137" s="155"/>
      <c r="F137" s="155"/>
      <c r="G137" s="155"/>
      <c r="H137" s="157"/>
      <c r="I137" s="154"/>
      <c r="J137" s="154"/>
      <c r="K137" s="154"/>
      <c r="L137" s="155"/>
      <c r="M137" s="156"/>
      <c r="N137" s="155"/>
      <c r="O137" s="155"/>
      <c r="P137" s="155"/>
      <c r="Q137" s="157"/>
      <c r="R137" s="154"/>
      <c r="S137" s="154"/>
    </row>
    <row r="138">
      <c r="A138" s="154"/>
      <c r="B138" s="154"/>
      <c r="C138" s="155"/>
      <c r="D138" s="156"/>
      <c r="E138" s="155"/>
      <c r="F138" s="155"/>
      <c r="G138" s="155"/>
      <c r="H138" s="157"/>
      <c r="I138" s="154"/>
      <c r="J138" s="154"/>
      <c r="K138" s="154"/>
      <c r="L138" s="155"/>
      <c r="M138" s="156"/>
      <c r="N138" s="155"/>
      <c r="O138" s="155"/>
      <c r="P138" s="155"/>
      <c r="Q138" s="157"/>
      <c r="R138" s="154"/>
      <c r="S138" s="154"/>
    </row>
    <row r="139">
      <c r="A139" s="154"/>
      <c r="B139" s="154"/>
      <c r="C139" s="155"/>
      <c r="D139" s="156"/>
      <c r="E139" s="155"/>
      <c r="F139" s="155"/>
      <c r="G139" s="155"/>
      <c r="H139" s="157"/>
      <c r="I139" s="154"/>
      <c r="J139" s="154"/>
      <c r="K139" s="154"/>
      <c r="L139" s="155"/>
      <c r="M139" s="156"/>
      <c r="N139" s="155"/>
      <c r="O139" s="155"/>
      <c r="P139" s="155"/>
      <c r="Q139" s="157"/>
      <c r="R139" s="154"/>
      <c r="S139" s="154"/>
    </row>
    <row r="140">
      <c r="A140" s="154"/>
      <c r="B140" s="154"/>
      <c r="C140" s="155"/>
      <c r="D140" s="156"/>
      <c r="E140" s="155"/>
      <c r="F140" s="155"/>
      <c r="G140" s="155"/>
      <c r="H140" s="157"/>
      <c r="I140" s="154"/>
      <c r="J140" s="154"/>
      <c r="K140" s="154"/>
      <c r="L140" s="155"/>
      <c r="M140" s="156"/>
      <c r="N140" s="155"/>
      <c r="O140" s="155"/>
      <c r="P140" s="155"/>
      <c r="Q140" s="157"/>
      <c r="R140" s="154"/>
      <c r="S140" s="154"/>
    </row>
    <row r="141">
      <c r="A141" s="154"/>
      <c r="B141" s="154"/>
      <c r="C141" s="155"/>
      <c r="D141" s="156"/>
      <c r="E141" s="155"/>
      <c r="F141" s="155"/>
      <c r="G141" s="155"/>
      <c r="H141" s="157"/>
      <c r="I141" s="154"/>
      <c r="J141" s="154"/>
      <c r="K141" s="154"/>
      <c r="L141" s="155"/>
      <c r="M141" s="156"/>
      <c r="N141" s="155"/>
      <c r="O141" s="155"/>
      <c r="P141" s="155"/>
      <c r="Q141" s="157"/>
      <c r="R141" s="154"/>
      <c r="S141" s="154"/>
    </row>
    <row r="142">
      <c r="A142" s="154"/>
      <c r="B142" s="154"/>
      <c r="C142" s="155"/>
      <c r="D142" s="156"/>
      <c r="E142" s="155"/>
      <c r="F142" s="155"/>
      <c r="G142" s="155"/>
      <c r="H142" s="157"/>
      <c r="I142" s="154"/>
      <c r="J142" s="154"/>
      <c r="K142" s="154"/>
      <c r="L142" s="155"/>
      <c r="M142" s="156"/>
      <c r="N142" s="155"/>
      <c r="O142" s="155"/>
      <c r="P142" s="155"/>
      <c r="Q142" s="157"/>
      <c r="R142" s="154"/>
      <c r="S142" s="154"/>
    </row>
    <row r="143">
      <c r="A143" s="154"/>
      <c r="B143" s="154"/>
      <c r="C143" s="155"/>
      <c r="D143" s="156"/>
      <c r="E143" s="155"/>
      <c r="F143" s="155"/>
      <c r="G143" s="155"/>
      <c r="H143" s="157"/>
      <c r="I143" s="154"/>
      <c r="J143" s="154"/>
      <c r="K143" s="154"/>
      <c r="L143" s="155"/>
      <c r="M143" s="156"/>
      <c r="N143" s="155"/>
      <c r="O143" s="155"/>
      <c r="P143" s="155"/>
      <c r="Q143" s="157"/>
      <c r="R143" s="154"/>
      <c r="S143" s="154"/>
    </row>
    <row r="144">
      <c r="A144" s="154"/>
      <c r="B144" s="154"/>
      <c r="C144" s="155"/>
      <c r="D144" s="156"/>
      <c r="E144" s="155"/>
      <c r="F144" s="155"/>
      <c r="G144" s="155"/>
      <c r="H144" s="157"/>
      <c r="I144" s="154"/>
      <c r="J144" s="154"/>
      <c r="K144" s="154"/>
      <c r="L144" s="155"/>
      <c r="M144" s="156"/>
      <c r="N144" s="155"/>
      <c r="O144" s="155"/>
      <c r="P144" s="155"/>
      <c r="Q144" s="157"/>
      <c r="R144" s="154"/>
      <c r="S144" s="154"/>
    </row>
    <row r="145">
      <c r="A145" s="154"/>
      <c r="B145" s="154"/>
      <c r="C145" s="155"/>
      <c r="D145" s="156"/>
      <c r="E145" s="155"/>
      <c r="F145" s="155"/>
      <c r="G145" s="155"/>
      <c r="H145" s="157"/>
      <c r="I145" s="154"/>
      <c r="J145" s="154"/>
      <c r="K145" s="154"/>
      <c r="L145" s="155"/>
      <c r="M145" s="156"/>
      <c r="N145" s="155"/>
      <c r="O145" s="155"/>
      <c r="P145" s="155"/>
      <c r="Q145" s="157"/>
      <c r="R145" s="154"/>
      <c r="S145" s="154"/>
    </row>
    <row r="146">
      <c r="A146" s="154"/>
      <c r="B146" s="154"/>
      <c r="C146" s="155"/>
      <c r="D146" s="156"/>
      <c r="E146" s="155"/>
      <c r="F146" s="155"/>
      <c r="G146" s="155"/>
      <c r="H146" s="157"/>
      <c r="I146" s="154"/>
      <c r="J146" s="154"/>
      <c r="K146" s="154"/>
      <c r="L146" s="155"/>
      <c r="M146" s="156"/>
      <c r="N146" s="155"/>
      <c r="O146" s="155"/>
      <c r="P146" s="155"/>
      <c r="Q146" s="157"/>
      <c r="R146" s="154"/>
      <c r="S146" s="154"/>
    </row>
    <row r="147">
      <c r="A147" s="154"/>
      <c r="B147" s="154"/>
      <c r="C147" s="155"/>
      <c r="D147" s="156"/>
      <c r="E147" s="155"/>
      <c r="F147" s="155"/>
      <c r="G147" s="155"/>
      <c r="H147" s="157"/>
      <c r="I147" s="154"/>
      <c r="J147" s="154"/>
      <c r="K147" s="154"/>
      <c r="L147" s="155"/>
      <c r="M147" s="156"/>
      <c r="N147" s="155"/>
      <c r="O147" s="155"/>
      <c r="P147" s="155"/>
      <c r="Q147" s="157"/>
      <c r="R147" s="154"/>
      <c r="S147" s="154"/>
    </row>
    <row r="148">
      <c r="A148" s="154"/>
      <c r="B148" s="154"/>
      <c r="C148" s="155"/>
      <c r="D148" s="156"/>
      <c r="E148" s="155"/>
      <c r="F148" s="155"/>
      <c r="G148" s="155"/>
      <c r="H148" s="157"/>
      <c r="I148" s="154"/>
      <c r="J148" s="154"/>
      <c r="K148" s="154"/>
      <c r="L148" s="155"/>
      <c r="M148" s="156"/>
      <c r="N148" s="155"/>
      <c r="O148" s="155"/>
      <c r="P148" s="155"/>
      <c r="Q148" s="157"/>
      <c r="R148" s="154"/>
      <c r="S148" s="154"/>
    </row>
    <row r="149">
      <c r="A149" s="154"/>
      <c r="B149" s="154"/>
      <c r="C149" s="155"/>
      <c r="D149" s="156"/>
      <c r="E149" s="155"/>
      <c r="F149" s="155"/>
      <c r="G149" s="155"/>
      <c r="H149" s="157"/>
      <c r="I149" s="154"/>
      <c r="J149" s="154"/>
      <c r="K149" s="154"/>
      <c r="L149" s="155"/>
      <c r="M149" s="156"/>
      <c r="N149" s="155"/>
      <c r="O149" s="155"/>
      <c r="P149" s="155"/>
      <c r="Q149" s="157"/>
      <c r="R149" s="154"/>
      <c r="S149" s="154"/>
    </row>
    <row r="150">
      <c r="A150" s="154"/>
      <c r="B150" s="154"/>
      <c r="C150" s="155"/>
      <c r="D150" s="156"/>
      <c r="E150" s="155"/>
      <c r="F150" s="155"/>
      <c r="G150" s="155"/>
      <c r="H150" s="157"/>
      <c r="I150" s="154"/>
      <c r="J150" s="154"/>
      <c r="K150" s="154"/>
      <c r="L150" s="155"/>
      <c r="M150" s="156"/>
      <c r="N150" s="155"/>
      <c r="O150" s="155"/>
      <c r="P150" s="155"/>
      <c r="Q150" s="157"/>
      <c r="R150" s="154"/>
      <c r="S150" s="154"/>
    </row>
    <row r="151">
      <c r="A151" s="154"/>
      <c r="B151" s="154"/>
      <c r="C151" s="155"/>
      <c r="D151" s="156"/>
      <c r="E151" s="155"/>
      <c r="F151" s="155"/>
      <c r="G151" s="155"/>
      <c r="H151" s="157"/>
      <c r="I151" s="154"/>
      <c r="J151" s="154"/>
      <c r="K151" s="154"/>
      <c r="L151" s="155"/>
      <c r="M151" s="156"/>
      <c r="N151" s="155"/>
      <c r="O151" s="155"/>
      <c r="P151" s="155"/>
      <c r="Q151" s="157"/>
      <c r="R151" s="154"/>
      <c r="S151" s="154"/>
    </row>
    <row r="152">
      <c r="A152" s="154"/>
      <c r="B152" s="154"/>
      <c r="C152" s="155"/>
      <c r="D152" s="156"/>
      <c r="E152" s="155"/>
      <c r="F152" s="155"/>
      <c r="G152" s="155"/>
      <c r="H152" s="157"/>
      <c r="I152" s="154"/>
      <c r="J152" s="154"/>
      <c r="K152" s="154"/>
      <c r="L152" s="155"/>
      <c r="M152" s="156"/>
      <c r="N152" s="155"/>
      <c r="O152" s="155"/>
      <c r="P152" s="155"/>
      <c r="Q152" s="157"/>
      <c r="R152" s="154"/>
      <c r="S152" s="154"/>
    </row>
    <row r="153">
      <c r="A153" s="154"/>
      <c r="B153" s="154"/>
      <c r="C153" s="155"/>
      <c r="D153" s="156"/>
      <c r="E153" s="155"/>
      <c r="F153" s="155"/>
      <c r="G153" s="155"/>
      <c r="H153" s="157"/>
      <c r="I153" s="154"/>
      <c r="J153" s="154"/>
      <c r="K153" s="154"/>
      <c r="L153" s="155"/>
      <c r="M153" s="156"/>
      <c r="N153" s="155"/>
      <c r="O153" s="155"/>
      <c r="P153" s="155"/>
      <c r="Q153" s="157"/>
      <c r="R153" s="154"/>
      <c r="S153" s="154"/>
    </row>
    <row r="154">
      <c r="A154" s="154"/>
      <c r="B154" s="154"/>
      <c r="C154" s="155"/>
      <c r="D154" s="156"/>
      <c r="E154" s="155"/>
      <c r="F154" s="155"/>
      <c r="G154" s="155"/>
      <c r="H154" s="157"/>
      <c r="I154" s="154"/>
      <c r="J154" s="154"/>
      <c r="K154" s="154"/>
      <c r="L154" s="155"/>
      <c r="M154" s="156"/>
      <c r="N154" s="155"/>
      <c r="O154" s="155"/>
      <c r="P154" s="155"/>
      <c r="Q154" s="157"/>
      <c r="R154" s="154"/>
      <c r="S154" s="154"/>
    </row>
    <row r="155">
      <c r="A155" s="154"/>
      <c r="B155" s="154"/>
      <c r="C155" s="155"/>
      <c r="D155" s="156"/>
      <c r="E155" s="155"/>
      <c r="F155" s="155"/>
      <c r="G155" s="155"/>
      <c r="H155" s="157"/>
      <c r="I155" s="154"/>
      <c r="J155" s="154"/>
      <c r="K155" s="154"/>
      <c r="L155" s="155"/>
      <c r="M155" s="156"/>
      <c r="N155" s="155"/>
      <c r="O155" s="155"/>
      <c r="P155" s="155"/>
      <c r="Q155" s="157"/>
      <c r="R155" s="154"/>
      <c r="S155" s="154"/>
    </row>
    <row r="156">
      <c r="A156" s="154"/>
      <c r="B156" s="154"/>
      <c r="C156" s="155"/>
      <c r="D156" s="156"/>
      <c r="E156" s="155"/>
      <c r="F156" s="155"/>
      <c r="G156" s="155"/>
      <c r="H156" s="157"/>
      <c r="I156" s="154"/>
      <c r="J156" s="154"/>
      <c r="K156" s="154"/>
      <c r="L156" s="155"/>
      <c r="M156" s="156"/>
      <c r="N156" s="155"/>
      <c r="O156" s="155"/>
      <c r="P156" s="155"/>
      <c r="Q156" s="157"/>
      <c r="R156" s="154"/>
      <c r="S156" s="154"/>
    </row>
    <row r="157">
      <c r="A157" s="154"/>
      <c r="B157" s="154"/>
      <c r="C157" s="155"/>
      <c r="D157" s="156"/>
      <c r="E157" s="155"/>
      <c r="F157" s="155"/>
      <c r="G157" s="155"/>
      <c r="H157" s="157"/>
      <c r="I157" s="154"/>
      <c r="J157" s="154"/>
      <c r="K157" s="154"/>
      <c r="L157" s="155"/>
      <c r="M157" s="156"/>
      <c r="N157" s="155"/>
      <c r="O157" s="155"/>
      <c r="P157" s="155"/>
      <c r="Q157" s="157"/>
      <c r="R157" s="154"/>
      <c r="S157" s="154"/>
    </row>
    <row r="158">
      <c r="A158" s="154"/>
      <c r="B158" s="154"/>
      <c r="C158" s="155"/>
      <c r="D158" s="156"/>
      <c r="E158" s="155"/>
      <c r="F158" s="155"/>
      <c r="G158" s="155"/>
      <c r="H158" s="157"/>
      <c r="I158" s="154"/>
      <c r="J158" s="154"/>
      <c r="K158" s="154"/>
      <c r="L158" s="155"/>
      <c r="M158" s="156"/>
      <c r="N158" s="155"/>
      <c r="O158" s="155"/>
      <c r="P158" s="155"/>
      <c r="Q158" s="157"/>
      <c r="R158" s="154"/>
      <c r="S158" s="154"/>
    </row>
    <row r="159">
      <c r="A159" s="154"/>
      <c r="B159" s="154"/>
      <c r="C159" s="155"/>
      <c r="D159" s="156"/>
      <c r="E159" s="155"/>
      <c r="F159" s="155"/>
      <c r="G159" s="155"/>
      <c r="H159" s="157"/>
      <c r="I159" s="154"/>
      <c r="J159" s="154"/>
      <c r="K159" s="154"/>
      <c r="L159" s="155"/>
      <c r="M159" s="156"/>
      <c r="N159" s="155"/>
      <c r="O159" s="155"/>
      <c r="P159" s="155"/>
      <c r="Q159" s="157"/>
      <c r="R159" s="154"/>
      <c r="S159" s="154"/>
    </row>
    <row r="160">
      <c r="A160" s="154"/>
      <c r="B160" s="154"/>
      <c r="C160" s="155"/>
      <c r="D160" s="156"/>
      <c r="E160" s="155"/>
      <c r="F160" s="155"/>
      <c r="G160" s="155"/>
      <c r="H160" s="157"/>
      <c r="I160" s="154"/>
      <c r="J160" s="154"/>
      <c r="K160" s="154"/>
      <c r="L160" s="155"/>
      <c r="M160" s="156"/>
      <c r="N160" s="155"/>
      <c r="O160" s="155"/>
      <c r="P160" s="155"/>
      <c r="Q160" s="157"/>
      <c r="R160" s="154"/>
      <c r="S160" s="154"/>
    </row>
    <row r="161">
      <c r="A161" s="154"/>
      <c r="B161" s="154"/>
      <c r="C161" s="155"/>
      <c r="D161" s="156"/>
      <c r="E161" s="155"/>
      <c r="F161" s="155"/>
      <c r="G161" s="155"/>
      <c r="H161" s="157"/>
      <c r="I161" s="154"/>
      <c r="J161" s="154"/>
      <c r="K161" s="154"/>
      <c r="L161" s="155"/>
      <c r="M161" s="156"/>
      <c r="N161" s="155"/>
      <c r="O161" s="155"/>
      <c r="P161" s="155"/>
      <c r="Q161" s="157"/>
      <c r="R161" s="154"/>
      <c r="S161" s="154"/>
    </row>
    <row r="162">
      <c r="A162" s="154"/>
      <c r="B162" s="154"/>
      <c r="C162" s="155"/>
      <c r="D162" s="156"/>
      <c r="E162" s="155"/>
      <c r="F162" s="155"/>
      <c r="G162" s="155"/>
      <c r="H162" s="157"/>
      <c r="I162" s="154"/>
      <c r="J162" s="154"/>
      <c r="K162" s="154"/>
      <c r="L162" s="155"/>
      <c r="M162" s="156"/>
      <c r="N162" s="155"/>
      <c r="O162" s="155"/>
      <c r="P162" s="155"/>
      <c r="Q162" s="157"/>
      <c r="R162" s="154"/>
      <c r="S162" s="154"/>
    </row>
    <row r="163">
      <c r="A163" s="154"/>
      <c r="B163" s="154"/>
      <c r="C163" s="155"/>
      <c r="D163" s="156"/>
      <c r="E163" s="155"/>
      <c r="F163" s="155"/>
      <c r="G163" s="155"/>
      <c r="H163" s="157"/>
      <c r="I163" s="154"/>
      <c r="J163" s="154"/>
      <c r="K163" s="154"/>
      <c r="L163" s="155"/>
      <c r="M163" s="156"/>
      <c r="N163" s="155"/>
      <c r="O163" s="155"/>
      <c r="P163" s="155"/>
      <c r="Q163" s="157"/>
      <c r="R163" s="154"/>
      <c r="S163" s="154"/>
    </row>
    <row r="164">
      <c r="A164" s="154"/>
      <c r="B164" s="154"/>
      <c r="C164" s="155"/>
      <c r="D164" s="156"/>
      <c r="E164" s="155"/>
      <c r="F164" s="155"/>
      <c r="G164" s="155"/>
      <c r="H164" s="157"/>
      <c r="I164" s="154"/>
      <c r="J164" s="154"/>
      <c r="K164" s="154"/>
      <c r="L164" s="155"/>
      <c r="M164" s="156"/>
      <c r="N164" s="155"/>
      <c r="O164" s="155"/>
      <c r="P164" s="155"/>
      <c r="Q164" s="157"/>
      <c r="R164" s="154"/>
      <c r="S164" s="154"/>
    </row>
    <row r="165">
      <c r="A165" s="154"/>
      <c r="B165" s="154"/>
      <c r="C165" s="155"/>
      <c r="D165" s="156"/>
      <c r="E165" s="155"/>
      <c r="F165" s="155"/>
      <c r="G165" s="155"/>
      <c r="H165" s="157"/>
      <c r="I165" s="154"/>
      <c r="J165" s="154"/>
      <c r="K165" s="154"/>
      <c r="L165" s="155"/>
      <c r="M165" s="156"/>
      <c r="N165" s="155"/>
      <c r="O165" s="155"/>
      <c r="P165" s="155"/>
      <c r="Q165" s="157"/>
      <c r="R165" s="154"/>
      <c r="S165" s="154"/>
    </row>
    <row r="166">
      <c r="A166" s="154"/>
      <c r="B166" s="154"/>
      <c r="C166" s="155"/>
      <c r="D166" s="156"/>
      <c r="E166" s="155"/>
      <c r="F166" s="155"/>
      <c r="G166" s="155"/>
      <c r="H166" s="157"/>
      <c r="I166" s="154"/>
      <c r="J166" s="154"/>
      <c r="K166" s="154"/>
      <c r="L166" s="155"/>
      <c r="M166" s="156"/>
      <c r="N166" s="155"/>
      <c r="O166" s="155"/>
      <c r="P166" s="155"/>
      <c r="Q166" s="157"/>
      <c r="R166" s="154"/>
      <c r="S166" s="154"/>
    </row>
    <row r="167">
      <c r="A167" s="154"/>
      <c r="B167" s="154"/>
      <c r="C167" s="155"/>
      <c r="D167" s="156"/>
      <c r="E167" s="155"/>
      <c r="F167" s="155"/>
      <c r="G167" s="155"/>
      <c r="H167" s="157"/>
      <c r="I167" s="154"/>
      <c r="J167" s="154"/>
      <c r="K167" s="154"/>
      <c r="L167" s="155"/>
      <c r="M167" s="156"/>
      <c r="N167" s="155"/>
      <c r="O167" s="155"/>
      <c r="P167" s="155"/>
      <c r="Q167" s="157"/>
      <c r="R167" s="154"/>
      <c r="S167" s="154"/>
    </row>
    <row r="168">
      <c r="A168" s="154"/>
      <c r="B168" s="154"/>
      <c r="C168" s="155"/>
      <c r="D168" s="156"/>
      <c r="E168" s="155"/>
      <c r="F168" s="155"/>
      <c r="G168" s="155"/>
      <c r="H168" s="157"/>
      <c r="I168" s="154"/>
      <c r="J168" s="154"/>
      <c r="K168" s="154"/>
      <c r="L168" s="155"/>
      <c r="M168" s="156"/>
      <c r="N168" s="155"/>
      <c r="O168" s="155"/>
      <c r="P168" s="155"/>
      <c r="Q168" s="157"/>
      <c r="R168" s="154"/>
      <c r="S168" s="154"/>
    </row>
    <row r="169">
      <c r="A169" s="154"/>
      <c r="B169" s="154"/>
      <c r="C169" s="155"/>
      <c r="D169" s="156"/>
      <c r="E169" s="155"/>
      <c r="F169" s="155"/>
      <c r="G169" s="155"/>
      <c r="H169" s="157"/>
      <c r="I169" s="154"/>
      <c r="J169" s="154"/>
      <c r="K169" s="154"/>
      <c r="L169" s="155"/>
      <c r="M169" s="156"/>
      <c r="N169" s="155"/>
      <c r="O169" s="155"/>
      <c r="P169" s="155"/>
      <c r="Q169" s="157"/>
      <c r="R169" s="154"/>
      <c r="S169" s="154"/>
    </row>
    <row r="170">
      <c r="A170" s="154"/>
      <c r="B170" s="154"/>
      <c r="C170" s="155"/>
      <c r="D170" s="156"/>
      <c r="E170" s="155"/>
      <c r="F170" s="155"/>
      <c r="G170" s="155"/>
      <c r="H170" s="157"/>
      <c r="I170" s="154"/>
      <c r="J170" s="154"/>
      <c r="K170" s="154"/>
      <c r="L170" s="155"/>
      <c r="M170" s="156"/>
      <c r="N170" s="155"/>
      <c r="O170" s="155"/>
      <c r="P170" s="155"/>
      <c r="Q170" s="157"/>
      <c r="R170" s="154"/>
      <c r="S170" s="154"/>
    </row>
    <row r="171">
      <c r="A171" s="154"/>
      <c r="B171" s="154"/>
      <c r="C171" s="155"/>
      <c r="D171" s="156"/>
      <c r="E171" s="155"/>
      <c r="F171" s="155"/>
      <c r="G171" s="155"/>
      <c r="H171" s="157"/>
      <c r="I171" s="154"/>
      <c r="J171" s="154"/>
      <c r="K171" s="154"/>
      <c r="L171" s="155"/>
      <c r="M171" s="156"/>
      <c r="N171" s="155"/>
      <c r="O171" s="155"/>
      <c r="P171" s="155"/>
      <c r="Q171" s="157"/>
      <c r="R171" s="154"/>
      <c r="S171" s="154"/>
    </row>
    <row r="172">
      <c r="A172" s="154"/>
      <c r="B172" s="154"/>
      <c r="C172" s="155"/>
      <c r="D172" s="156"/>
      <c r="E172" s="155"/>
      <c r="F172" s="155"/>
      <c r="G172" s="155"/>
      <c r="H172" s="157"/>
      <c r="I172" s="154"/>
      <c r="J172" s="154"/>
      <c r="K172" s="154"/>
      <c r="L172" s="155"/>
      <c r="M172" s="156"/>
      <c r="N172" s="155"/>
      <c r="O172" s="155"/>
      <c r="P172" s="155"/>
      <c r="Q172" s="157"/>
      <c r="R172" s="154"/>
      <c r="S172" s="154"/>
    </row>
    <row r="173">
      <c r="A173" s="154"/>
      <c r="B173" s="154"/>
      <c r="C173" s="155"/>
      <c r="D173" s="156"/>
      <c r="E173" s="155"/>
      <c r="F173" s="155"/>
      <c r="G173" s="155"/>
      <c r="H173" s="157"/>
      <c r="I173" s="154"/>
      <c r="J173" s="154"/>
      <c r="K173" s="154"/>
      <c r="L173" s="155"/>
      <c r="M173" s="156"/>
      <c r="N173" s="155"/>
      <c r="O173" s="155"/>
      <c r="P173" s="155"/>
      <c r="Q173" s="157"/>
      <c r="R173" s="154"/>
      <c r="S173" s="154"/>
    </row>
    <row r="174">
      <c r="A174" s="154"/>
      <c r="B174" s="154"/>
      <c r="C174" s="155"/>
      <c r="D174" s="156"/>
      <c r="E174" s="155"/>
      <c r="F174" s="155"/>
      <c r="G174" s="155"/>
      <c r="H174" s="157"/>
      <c r="I174" s="154"/>
      <c r="J174" s="154"/>
      <c r="K174" s="154"/>
      <c r="L174" s="155"/>
      <c r="M174" s="156"/>
      <c r="N174" s="155"/>
      <c r="O174" s="155"/>
      <c r="P174" s="155"/>
      <c r="Q174" s="157"/>
      <c r="R174" s="154"/>
      <c r="S174" s="154"/>
    </row>
    <row r="175">
      <c r="A175" s="154"/>
      <c r="B175" s="154"/>
      <c r="C175" s="155"/>
      <c r="D175" s="156"/>
      <c r="E175" s="155"/>
      <c r="F175" s="155"/>
      <c r="G175" s="155"/>
      <c r="H175" s="157"/>
      <c r="I175" s="154"/>
      <c r="J175" s="154"/>
      <c r="K175" s="154"/>
      <c r="L175" s="155"/>
      <c r="M175" s="156"/>
      <c r="N175" s="155"/>
      <c r="O175" s="155"/>
      <c r="P175" s="155"/>
      <c r="Q175" s="157"/>
      <c r="R175" s="154"/>
      <c r="S175" s="154"/>
    </row>
    <row r="176">
      <c r="A176" s="154"/>
      <c r="B176" s="154"/>
      <c r="C176" s="155"/>
      <c r="D176" s="156"/>
      <c r="E176" s="155"/>
      <c r="F176" s="155"/>
      <c r="G176" s="155"/>
      <c r="H176" s="157"/>
      <c r="I176" s="154"/>
      <c r="J176" s="154"/>
      <c r="K176" s="154"/>
      <c r="L176" s="155"/>
      <c r="M176" s="156"/>
      <c r="N176" s="155"/>
      <c r="O176" s="155"/>
      <c r="P176" s="155"/>
      <c r="Q176" s="157"/>
      <c r="R176" s="154"/>
      <c r="S176" s="154"/>
    </row>
    <row r="177">
      <c r="A177" s="154"/>
      <c r="B177" s="154"/>
      <c r="C177" s="155"/>
      <c r="D177" s="156"/>
      <c r="E177" s="155"/>
      <c r="F177" s="155"/>
      <c r="G177" s="155"/>
      <c r="H177" s="157"/>
      <c r="I177" s="154"/>
      <c r="J177" s="154"/>
      <c r="K177" s="154"/>
      <c r="L177" s="155"/>
      <c r="M177" s="156"/>
      <c r="N177" s="155"/>
      <c r="O177" s="155"/>
      <c r="P177" s="155"/>
      <c r="Q177" s="157"/>
      <c r="R177" s="154"/>
      <c r="S177" s="154"/>
    </row>
    <row r="178">
      <c r="A178" s="154"/>
      <c r="B178" s="154"/>
      <c r="C178" s="155"/>
      <c r="D178" s="156"/>
      <c r="E178" s="155"/>
      <c r="F178" s="155"/>
      <c r="G178" s="155"/>
      <c r="H178" s="157"/>
      <c r="I178" s="154"/>
      <c r="J178" s="154"/>
      <c r="K178" s="154"/>
      <c r="L178" s="155"/>
      <c r="M178" s="156"/>
      <c r="N178" s="155"/>
      <c r="O178" s="155"/>
      <c r="P178" s="155"/>
      <c r="Q178" s="157"/>
      <c r="R178" s="154"/>
      <c r="S178" s="154"/>
    </row>
    <row r="179">
      <c r="A179" s="154"/>
      <c r="B179" s="154"/>
      <c r="C179" s="155"/>
      <c r="D179" s="156"/>
      <c r="E179" s="155"/>
      <c r="F179" s="155"/>
      <c r="G179" s="155"/>
      <c r="H179" s="157"/>
      <c r="I179" s="154"/>
      <c r="J179" s="154"/>
      <c r="K179" s="154"/>
      <c r="L179" s="155"/>
      <c r="M179" s="156"/>
      <c r="N179" s="155"/>
      <c r="O179" s="155"/>
      <c r="P179" s="155"/>
      <c r="Q179" s="157"/>
      <c r="R179" s="154"/>
      <c r="S179" s="154"/>
    </row>
    <row r="180">
      <c r="A180" s="154"/>
      <c r="B180" s="154"/>
      <c r="C180" s="155"/>
      <c r="D180" s="156"/>
      <c r="E180" s="155"/>
      <c r="F180" s="155"/>
      <c r="G180" s="155"/>
      <c r="H180" s="157"/>
      <c r="I180" s="154"/>
      <c r="J180" s="154"/>
      <c r="K180" s="154"/>
      <c r="L180" s="155"/>
      <c r="M180" s="156"/>
      <c r="N180" s="155"/>
      <c r="O180" s="155"/>
      <c r="P180" s="155"/>
      <c r="Q180" s="157"/>
      <c r="R180" s="154"/>
      <c r="S180" s="154"/>
    </row>
    <row r="181">
      <c r="A181" s="154"/>
      <c r="B181" s="154"/>
      <c r="C181" s="155"/>
      <c r="D181" s="156"/>
      <c r="E181" s="155"/>
      <c r="F181" s="155"/>
      <c r="G181" s="155"/>
      <c r="H181" s="157"/>
      <c r="I181" s="154"/>
      <c r="J181" s="154"/>
      <c r="K181" s="154"/>
      <c r="L181" s="155"/>
      <c r="M181" s="156"/>
      <c r="N181" s="155"/>
      <c r="O181" s="155"/>
      <c r="P181" s="155"/>
      <c r="Q181" s="157"/>
      <c r="R181" s="154"/>
      <c r="S181" s="154"/>
    </row>
    <row r="182">
      <c r="A182" s="154"/>
      <c r="B182" s="154"/>
      <c r="C182" s="155"/>
      <c r="D182" s="156"/>
      <c r="E182" s="155"/>
      <c r="F182" s="155"/>
      <c r="G182" s="155"/>
      <c r="H182" s="157"/>
      <c r="I182" s="154"/>
      <c r="J182" s="154"/>
      <c r="K182" s="154"/>
      <c r="L182" s="155"/>
      <c r="M182" s="156"/>
      <c r="N182" s="155"/>
      <c r="O182" s="155"/>
      <c r="P182" s="155"/>
      <c r="Q182" s="157"/>
      <c r="R182" s="154"/>
      <c r="S182" s="154"/>
    </row>
    <row r="183">
      <c r="A183" s="154"/>
      <c r="B183" s="154"/>
      <c r="C183" s="155"/>
      <c r="D183" s="156"/>
      <c r="E183" s="155"/>
      <c r="F183" s="155"/>
      <c r="G183" s="155"/>
      <c r="H183" s="157"/>
      <c r="I183" s="154"/>
      <c r="J183" s="154"/>
      <c r="K183" s="154"/>
      <c r="L183" s="155"/>
      <c r="M183" s="156"/>
      <c r="N183" s="155"/>
      <c r="O183" s="155"/>
      <c r="P183" s="155"/>
      <c r="Q183" s="157"/>
      <c r="R183" s="154"/>
      <c r="S183" s="154"/>
    </row>
    <row r="184">
      <c r="A184" s="154"/>
      <c r="B184" s="154"/>
      <c r="C184" s="155"/>
      <c r="D184" s="156"/>
      <c r="E184" s="155"/>
      <c r="F184" s="155"/>
      <c r="G184" s="155"/>
      <c r="H184" s="157"/>
      <c r="I184" s="154"/>
      <c r="J184" s="154"/>
      <c r="K184" s="154"/>
      <c r="L184" s="155"/>
      <c r="M184" s="156"/>
      <c r="N184" s="155"/>
      <c r="O184" s="155"/>
      <c r="P184" s="155"/>
      <c r="Q184" s="157"/>
      <c r="R184" s="154"/>
      <c r="S184" s="154"/>
    </row>
    <row r="185">
      <c r="A185" s="154"/>
      <c r="B185" s="154"/>
      <c r="C185" s="155"/>
      <c r="D185" s="156"/>
      <c r="E185" s="155"/>
      <c r="F185" s="155"/>
      <c r="G185" s="155"/>
      <c r="H185" s="157"/>
      <c r="I185" s="154"/>
      <c r="J185" s="154"/>
      <c r="K185" s="154"/>
      <c r="L185" s="155"/>
      <c r="M185" s="156"/>
      <c r="N185" s="155"/>
      <c r="O185" s="155"/>
      <c r="P185" s="155"/>
      <c r="Q185" s="157"/>
      <c r="R185" s="154"/>
      <c r="S185" s="154"/>
    </row>
    <row r="186">
      <c r="A186" s="154"/>
      <c r="B186" s="154"/>
      <c r="C186" s="155"/>
      <c r="D186" s="156"/>
      <c r="E186" s="155"/>
      <c r="F186" s="155"/>
      <c r="G186" s="155"/>
      <c r="H186" s="157"/>
      <c r="I186" s="154"/>
      <c r="J186" s="154"/>
      <c r="K186" s="154"/>
      <c r="L186" s="155"/>
      <c r="M186" s="156"/>
      <c r="N186" s="155"/>
      <c r="O186" s="155"/>
      <c r="P186" s="155"/>
      <c r="Q186" s="157"/>
      <c r="R186" s="154"/>
      <c r="S186" s="154"/>
    </row>
    <row r="187">
      <c r="A187" s="154"/>
      <c r="B187" s="154"/>
      <c r="C187" s="155"/>
      <c r="D187" s="156"/>
      <c r="E187" s="155"/>
      <c r="F187" s="155"/>
      <c r="G187" s="155"/>
      <c r="H187" s="157"/>
      <c r="I187" s="154"/>
      <c r="J187" s="154"/>
      <c r="K187" s="154"/>
      <c r="L187" s="155"/>
      <c r="M187" s="156"/>
      <c r="N187" s="155"/>
      <c r="O187" s="155"/>
      <c r="P187" s="155"/>
      <c r="Q187" s="157"/>
      <c r="R187" s="154"/>
      <c r="S187" s="154"/>
    </row>
    <row r="188">
      <c r="A188" s="154"/>
      <c r="B188" s="154"/>
      <c r="C188" s="155"/>
      <c r="D188" s="156"/>
      <c r="E188" s="155"/>
      <c r="F188" s="155"/>
      <c r="G188" s="155"/>
      <c r="H188" s="157"/>
      <c r="I188" s="154"/>
      <c r="J188" s="154"/>
      <c r="K188" s="154"/>
      <c r="L188" s="155"/>
      <c r="M188" s="156"/>
      <c r="N188" s="155"/>
      <c r="O188" s="155"/>
      <c r="P188" s="155"/>
      <c r="Q188" s="157"/>
      <c r="R188" s="154"/>
      <c r="S188" s="154"/>
    </row>
    <row r="189">
      <c r="A189" s="154"/>
      <c r="B189" s="154"/>
      <c r="C189" s="155"/>
      <c r="D189" s="156"/>
      <c r="E189" s="155"/>
      <c r="F189" s="155"/>
      <c r="G189" s="155"/>
      <c r="H189" s="157"/>
      <c r="I189" s="154"/>
      <c r="J189" s="154"/>
      <c r="K189" s="154"/>
      <c r="L189" s="155"/>
      <c r="M189" s="156"/>
      <c r="N189" s="155"/>
      <c r="O189" s="155"/>
      <c r="P189" s="155"/>
      <c r="Q189" s="157"/>
      <c r="R189" s="154"/>
      <c r="S189" s="154"/>
    </row>
    <row r="190">
      <c r="A190" s="154"/>
      <c r="B190" s="154"/>
      <c r="C190" s="155"/>
      <c r="D190" s="156"/>
      <c r="E190" s="155"/>
      <c r="F190" s="155"/>
      <c r="G190" s="155"/>
      <c r="H190" s="157"/>
      <c r="I190" s="154"/>
      <c r="J190" s="154"/>
      <c r="K190" s="154"/>
      <c r="L190" s="155"/>
      <c r="M190" s="156"/>
      <c r="N190" s="155"/>
      <c r="O190" s="155"/>
      <c r="P190" s="155"/>
      <c r="Q190" s="157"/>
      <c r="R190" s="154"/>
      <c r="S190" s="154"/>
    </row>
    <row r="191">
      <c r="A191" s="154"/>
      <c r="B191" s="154"/>
      <c r="C191" s="155"/>
      <c r="D191" s="156"/>
      <c r="E191" s="155"/>
      <c r="F191" s="155"/>
      <c r="G191" s="155"/>
      <c r="H191" s="157"/>
      <c r="I191" s="154"/>
      <c r="J191" s="154"/>
      <c r="K191" s="154"/>
      <c r="L191" s="155"/>
      <c r="M191" s="156"/>
      <c r="N191" s="155"/>
      <c r="O191" s="155"/>
      <c r="P191" s="155"/>
      <c r="Q191" s="157"/>
      <c r="R191" s="154"/>
      <c r="S191" s="154"/>
    </row>
    <row r="192">
      <c r="A192" s="154"/>
      <c r="B192" s="154"/>
      <c r="C192" s="155"/>
      <c r="D192" s="156"/>
      <c r="E192" s="155"/>
      <c r="F192" s="155"/>
      <c r="G192" s="155"/>
      <c r="H192" s="157"/>
      <c r="I192" s="154"/>
      <c r="J192" s="154"/>
      <c r="K192" s="154"/>
      <c r="L192" s="155"/>
      <c r="M192" s="156"/>
      <c r="N192" s="155"/>
      <c r="O192" s="155"/>
      <c r="P192" s="155"/>
      <c r="Q192" s="157"/>
      <c r="R192" s="154"/>
      <c r="S192" s="154"/>
    </row>
    <row r="193">
      <c r="A193" s="154"/>
      <c r="B193" s="154"/>
      <c r="C193" s="155"/>
      <c r="D193" s="156"/>
      <c r="E193" s="155"/>
      <c r="F193" s="155"/>
      <c r="G193" s="155"/>
      <c r="H193" s="157"/>
      <c r="I193" s="154"/>
      <c r="J193" s="154"/>
      <c r="K193" s="154"/>
      <c r="L193" s="155"/>
      <c r="M193" s="156"/>
      <c r="N193" s="155"/>
      <c r="O193" s="155"/>
      <c r="P193" s="155"/>
      <c r="Q193" s="157"/>
      <c r="R193" s="154"/>
      <c r="S193" s="154"/>
    </row>
    <row r="194">
      <c r="A194" s="154"/>
      <c r="B194" s="154"/>
      <c r="C194" s="155"/>
      <c r="D194" s="156"/>
      <c r="E194" s="155"/>
      <c r="F194" s="155"/>
      <c r="G194" s="155"/>
      <c r="H194" s="157"/>
      <c r="I194" s="154"/>
      <c r="J194" s="154"/>
      <c r="K194" s="154"/>
      <c r="L194" s="155"/>
      <c r="M194" s="156"/>
      <c r="N194" s="155"/>
      <c r="O194" s="155"/>
      <c r="P194" s="155"/>
      <c r="Q194" s="157"/>
      <c r="R194" s="154"/>
      <c r="S194" s="154"/>
    </row>
    <row r="195">
      <c r="A195" s="154"/>
      <c r="B195" s="154"/>
      <c r="C195" s="155"/>
      <c r="D195" s="156"/>
      <c r="E195" s="155"/>
      <c r="F195" s="155"/>
      <c r="G195" s="155"/>
      <c r="H195" s="157"/>
      <c r="I195" s="154"/>
      <c r="J195" s="154"/>
      <c r="K195" s="154"/>
      <c r="L195" s="155"/>
      <c r="M195" s="156"/>
      <c r="N195" s="155"/>
      <c r="O195" s="155"/>
      <c r="P195" s="155"/>
      <c r="Q195" s="157"/>
      <c r="R195" s="154"/>
      <c r="S195" s="154"/>
    </row>
    <row r="196">
      <c r="A196" s="154"/>
      <c r="B196" s="154"/>
      <c r="C196" s="155"/>
      <c r="D196" s="156"/>
      <c r="E196" s="155"/>
      <c r="F196" s="155"/>
      <c r="G196" s="155"/>
      <c r="H196" s="157"/>
      <c r="I196" s="154"/>
      <c r="J196" s="154"/>
      <c r="K196" s="154"/>
      <c r="L196" s="155"/>
      <c r="M196" s="156"/>
      <c r="N196" s="155"/>
      <c r="O196" s="155"/>
      <c r="P196" s="155"/>
      <c r="Q196" s="157"/>
      <c r="R196" s="154"/>
      <c r="S196" s="154"/>
    </row>
    <row r="197">
      <c r="A197" s="154"/>
      <c r="B197" s="154"/>
      <c r="C197" s="155"/>
      <c r="D197" s="156"/>
      <c r="E197" s="155"/>
      <c r="F197" s="155"/>
      <c r="G197" s="155"/>
      <c r="H197" s="157"/>
      <c r="I197" s="154"/>
      <c r="J197" s="154"/>
      <c r="K197" s="154"/>
      <c r="L197" s="155"/>
      <c r="M197" s="156"/>
      <c r="N197" s="155"/>
      <c r="O197" s="155"/>
      <c r="P197" s="155"/>
      <c r="Q197" s="157"/>
      <c r="R197" s="154"/>
      <c r="S197" s="154"/>
    </row>
    <row r="198">
      <c r="A198" s="154"/>
      <c r="B198" s="154"/>
      <c r="C198" s="155"/>
      <c r="D198" s="156"/>
      <c r="E198" s="155"/>
      <c r="F198" s="155"/>
      <c r="G198" s="155"/>
      <c r="H198" s="157"/>
      <c r="I198" s="154"/>
      <c r="J198" s="154"/>
      <c r="K198" s="154"/>
      <c r="L198" s="155"/>
      <c r="M198" s="156"/>
      <c r="N198" s="155"/>
      <c r="O198" s="155"/>
      <c r="P198" s="155"/>
      <c r="Q198" s="157"/>
      <c r="R198" s="154"/>
      <c r="S198" s="154"/>
    </row>
    <row r="199">
      <c r="A199" s="154"/>
      <c r="B199" s="154"/>
      <c r="C199" s="155"/>
      <c r="D199" s="156"/>
      <c r="E199" s="155"/>
      <c r="F199" s="155"/>
      <c r="G199" s="155"/>
      <c r="H199" s="157"/>
      <c r="I199" s="154"/>
      <c r="J199" s="154"/>
      <c r="K199" s="154"/>
      <c r="L199" s="155"/>
      <c r="M199" s="156"/>
      <c r="N199" s="155"/>
      <c r="O199" s="155"/>
      <c r="P199" s="155"/>
      <c r="Q199" s="157"/>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row r="591">
      <c r="A591" s="154"/>
      <c r="B591" s="154"/>
      <c r="C591" s="155"/>
      <c r="D591" s="156"/>
      <c r="E591" s="155"/>
      <c r="F591" s="155"/>
      <c r="G591" s="155"/>
      <c r="H591" s="157"/>
      <c r="I591" s="154"/>
      <c r="J591" s="154"/>
      <c r="K591" s="154"/>
      <c r="L591" s="155"/>
      <c r="M591" s="156"/>
      <c r="N591" s="155"/>
      <c r="O591" s="155"/>
      <c r="P591" s="155"/>
      <c r="Q591" s="157"/>
      <c r="R591" s="154"/>
      <c r="S591" s="154"/>
    </row>
    <row r="592">
      <c r="A592" s="154"/>
      <c r="B592" s="154"/>
      <c r="C592" s="155"/>
      <c r="D592" s="156"/>
      <c r="E592" s="155"/>
      <c r="F592" s="155"/>
      <c r="G592" s="155"/>
      <c r="H592" s="157"/>
      <c r="I592" s="154"/>
      <c r="J592" s="154"/>
      <c r="K592" s="154"/>
      <c r="L592" s="155"/>
      <c r="M592" s="156"/>
      <c r="N592" s="155"/>
      <c r="O592" s="155"/>
      <c r="P592" s="155"/>
      <c r="Q592" s="157"/>
      <c r="R592" s="154"/>
      <c r="S592" s="154"/>
    </row>
    <row r="593">
      <c r="A593" s="154"/>
      <c r="B593" s="154"/>
      <c r="C593" s="155"/>
      <c r="D593" s="156"/>
      <c r="E593" s="155"/>
      <c r="F593" s="155"/>
      <c r="G593" s="155"/>
      <c r="H593" s="157"/>
      <c r="I593" s="154"/>
      <c r="J593" s="154"/>
      <c r="K593" s="154"/>
      <c r="L593" s="155"/>
      <c r="M593" s="156"/>
      <c r="N593" s="155"/>
      <c r="O593" s="155"/>
      <c r="P593" s="155"/>
      <c r="Q593" s="157"/>
      <c r="R593" s="154"/>
      <c r="S593" s="154"/>
    </row>
    <row r="594">
      <c r="A594" s="154"/>
      <c r="B594" s="154"/>
      <c r="C594" s="155"/>
      <c r="D594" s="156"/>
      <c r="E594" s="155"/>
      <c r="F594" s="155"/>
      <c r="G594" s="155"/>
      <c r="H594" s="157"/>
      <c r="I594" s="154"/>
      <c r="J594" s="154"/>
      <c r="K594" s="154"/>
      <c r="L594" s="155"/>
      <c r="M594" s="156"/>
      <c r="N594" s="155"/>
      <c r="O594" s="155"/>
      <c r="P594" s="155"/>
      <c r="Q594" s="157"/>
      <c r="R594" s="154"/>
      <c r="S594" s="154"/>
    </row>
    <row r="595">
      <c r="A595" s="154"/>
      <c r="B595" s="154"/>
      <c r="C595" s="155"/>
      <c r="D595" s="156"/>
      <c r="E595" s="155"/>
      <c r="F595" s="155"/>
      <c r="G595" s="155"/>
      <c r="H595" s="157"/>
      <c r="I595" s="154"/>
      <c r="J595" s="154"/>
      <c r="K595" s="154"/>
      <c r="L595" s="155"/>
      <c r="M595" s="156"/>
      <c r="N595" s="155"/>
      <c r="O595" s="155"/>
      <c r="P595" s="155"/>
      <c r="Q595" s="157"/>
      <c r="R595" s="154"/>
      <c r="S595" s="154"/>
    </row>
    <row r="596">
      <c r="A596" s="154"/>
      <c r="B596" s="154"/>
      <c r="C596" s="155"/>
      <c r="D596" s="156"/>
      <c r="E596" s="155"/>
      <c r="F596" s="155"/>
      <c r="G596" s="155"/>
      <c r="H596" s="157"/>
      <c r="I596" s="154"/>
      <c r="J596" s="154"/>
      <c r="K596" s="154"/>
      <c r="L596" s="155"/>
      <c r="M596" s="156"/>
      <c r="N596" s="155"/>
      <c r="O596" s="155"/>
      <c r="P596" s="155"/>
      <c r="Q596" s="157"/>
      <c r="R596" s="154"/>
      <c r="S596" s="154"/>
    </row>
    <row r="597">
      <c r="A597" s="154"/>
      <c r="B597" s="154"/>
      <c r="C597" s="155"/>
      <c r="D597" s="156"/>
      <c r="E597" s="155"/>
      <c r="F597" s="155"/>
      <c r="G597" s="155"/>
      <c r="H597" s="157"/>
      <c r="I597" s="154"/>
      <c r="J597" s="154"/>
      <c r="K597" s="154"/>
      <c r="L597" s="155"/>
      <c r="M597" s="156"/>
      <c r="N597" s="155"/>
      <c r="O597" s="155"/>
      <c r="P597" s="155"/>
      <c r="Q597" s="157"/>
      <c r="R597" s="154"/>
      <c r="S597" s="154"/>
    </row>
    <row r="598">
      <c r="A598" s="154"/>
      <c r="B598" s="154"/>
      <c r="C598" s="155"/>
      <c r="D598" s="156"/>
      <c r="E598" s="155"/>
      <c r="F598" s="155"/>
      <c r="G598" s="155"/>
      <c r="H598" s="157"/>
      <c r="I598" s="154"/>
      <c r="J598" s="154"/>
      <c r="K598" s="154"/>
      <c r="L598" s="155"/>
      <c r="M598" s="156"/>
      <c r="N598" s="155"/>
      <c r="O598" s="155"/>
      <c r="P598" s="155"/>
      <c r="Q598" s="157"/>
      <c r="R598" s="154"/>
      <c r="S598" s="154"/>
    </row>
    <row r="599">
      <c r="A599" s="154"/>
      <c r="B599" s="154"/>
      <c r="C599" s="155"/>
      <c r="D599" s="156"/>
      <c r="E599" s="155"/>
      <c r="F599" s="155"/>
      <c r="G599" s="155"/>
      <c r="H599" s="157"/>
      <c r="I599" s="154"/>
      <c r="J599" s="154"/>
      <c r="K599" s="154"/>
      <c r="L599" s="155"/>
      <c r="M599" s="156"/>
      <c r="N599" s="155"/>
      <c r="O599" s="155"/>
      <c r="P599" s="155"/>
      <c r="Q599" s="157"/>
      <c r="R599" s="154"/>
      <c r="S599" s="154"/>
    </row>
    <row r="600">
      <c r="A600" s="154"/>
      <c r="B600" s="154"/>
      <c r="C600" s="155"/>
      <c r="D600" s="156"/>
      <c r="E600" s="155"/>
      <c r="F600" s="155"/>
      <c r="G600" s="155"/>
      <c r="H600" s="157"/>
      <c r="I600" s="154"/>
      <c r="J600" s="154"/>
      <c r="K600" s="154"/>
      <c r="L600" s="155"/>
      <c r="M600" s="156"/>
      <c r="N600" s="155"/>
      <c r="O600" s="155"/>
      <c r="P600" s="155"/>
      <c r="Q600" s="157"/>
      <c r="R600" s="154"/>
      <c r="S600" s="154"/>
    </row>
    <row r="601">
      <c r="A601" s="154"/>
      <c r="B601" s="154"/>
      <c r="C601" s="155"/>
      <c r="D601" s="156"/>
      <c r="E601" s="155"/>
      <c r="F601" s="155"/>
      <c r="G601" s="155"/>
      <c r="H601" s="157"/>
      <c r="I601" s="154"/>
      <c r="J601" s="154"/>
      <c r="K601" s="154"/>
      <c r="L601" s="155"/>
      <c r="M601" s="156"/>
      <c r="N601" s="155"/>
      <c r="O601" s="155"/>
      <c r="P601" s="155"/>
      <c r="Q601" s="157"/>
      <c r="R601" s="154"/>
      <c r="S601" s="154"/>
    </row>
    <row r="602">
      <c r="A602" s="154"/>
      <c r="B602" s="154"/>
      <c r="C602" s="155"/>
      <c r="D602" s="156"/>
      <c r="E602" s="155"/>
      <c r="F602" s="155"/>
      <c r="G602" s="155"/>
      <c r="H602" s="157"/>
      <c r="I602" s="154"/>
      <c r="J602" s="154"/>
      <c r="K602" s="154"/>
      <c r="L602" s="155"/>
      <c r="M602" s="156"/>
      <c r="N602" s="155"/>
      <c r="O602" s="155"/>
      <c r="P602" s="155"/>
      <c r="Q602" s="157"/>
      <c r="R602" s="154"/>
      <c r="S602" s="154"/>
    </row>
    <row r="603">
      <c r="A603" s="154"/>
      <c r="B603" s="154"/>
      <c r="C603" s="155"/>
      <c r="D603" s="156"/>
      <c r="E603" s="155"/>
      <c r="F603" s="155"/>
      <c r="G603" s="155"/>
      <c r="H603" s="157"/>
      <c r="I603" s="154"/>
      <c r="J603" s="154"/>
      <c r="K603" s="154"/>
      <c r="L603" s="155"/>
      <c r="M603" s="156"/>
      <c r="N603" s="155"/>
      <c r="O603" s="155"/>
      <c r="P603" s="155"/>
      <c r="Q603" s="157"/>
      <c r="R603" s="154"/>
      <c r="S603" s="154"/>
    </row>
    <row r="604">
      <c r="A604" s="154"/>
      <c r="B604" s="154"/>
      <c r="C604" s="155"/>
      <c r="D604" s="156"/>
      <c r="E604" s="155"/>
      <c r="F604" s="155"/>
      <c r="G604" s="155"/>
      <c r="H604" s="157"/>
      <c r="I604" s="154"/>
      <c r="J604" s="154"/>
      <c r="K604" s="154"/>
      <c r="L604" s="155"/>
      <c r="M604" s="156"/>
      <c r="N604" s="155"/>
      <c r="O604" s="155"/>
      <c r="P604" s="155"/>
      <c r="Q604" s="157"/>
      <c r="R604" s="154"/>
      <c r="S604" s="154"/>
    </row>
    <row r="605">
      <c r="A605" s="154"/>
      <c r="B605" s="154"/>
      <c r="C605" s="155"/>
      <c r="D605" s="156"/>
      <c r="E605" s="155"/>
      <c r="F605" s="155"/>
      <c r="G605" s="155"/>
      <c r="H605" s="157"/>
      <c r="I605" s="154"/>
      <c r="J605" s="154"/>
      <c r="K605" s="154"/>
      <c r="L605" s="155"/>
      <c r="M605" s="156"/>
      <c r="N605" s="155"/>
      <c r="O605" s="155"/>
      <c r="P605" s="155"/>
      <c r="Q605" s="157"/>
      <c r="R605" s="154"/>
      <c r="S605" s="154"/>
    </row>
    <row r="606">
      <c r="A606" s="154"/>
      <c r="B606" s="154"/>
      <c r="C606" s="155"/>
      <c r="D606" s="156"/>
      <c r="E606" s="155"/>
      <c r="F606" s="155"/>
      <c r="G606" s="155"/>
      <c r="H606" s="157"/>
      <c r="I606" s="154"/>
      <c r="J606" s="154"/>
      <c r="K606" s="154"/>
      <c r="L606" s="155"/>
      <c r="M606" s="156"/>
      <c r="N606" s="155"/>
      <c r="O606" s="155"/>
      <c r="P606" s="155"/>
      <c r="Q606" s="157"/>
      <c r="R606" s="154"/>
      <c r="S606" s="154"/>
    </row>
    <row r="607">
      <c r="A607" s="154"/>
      <c r="B607" s="154"/>
      <c r="C607" s="155"/>
      <c r="D607" s="156"/>
      <c r="E607" s="155"/>
      <c r="F607" s="155"/>
      <c r="G607" s="155"/>
      <c r="H607" s="157"/>
      <c r="I607" s="154"/>
      <c r="J607" s="154"/>
      <c r="K607" s="154"/>
      <c r="L607" s="155"/>
      <c r="M607" s="156"/>
      <c r="N607" s="155"/>
      <c r="O607" s="155"/>
      <c r="P607" s="155"/>
      <c r="Q607" s="157"/>
      <c r="R607" s="154"/>
      <c r="S607" s="154"/>
    </row>
  </sheetData>
  <mergeCells count="6">
    <mergeCell ref="C1:H1"/>
    <mergeCell ref="L1:Q1"/>
    <mergeCell ref="C2:H2"/>
    <mergeCell ref="L2:Q2"/>
    <mergeCell ref="C3:H3"/>
    <mergeCell ref="L3:Q3"/>
  </mergeCells>
  <dataValidations>
    <dataValidation type="list" allowBlank="1" showErrorMessage="1" sqref="A1:C1 I1:L1 R1:S1">
      <formula1>'All Competencies'!$A$3:$A607</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D10"/>
    <hyperlink r:id="rId21" ref="M10"/>
    <hyperlink r:id="rId22" ref="D11"/>
    <hyperlink r:id="rId23" ref="M11"/>
    <hyperlink r:id="rId24" ref="D12"/>
    <hyperlink r:id="rId25" ref="M12"/>
    <hyperlink r:id="rId26" ref="D13"/>
    <hyperlink r:id="rId27" ref="M13"/>
    <hyperlink r:id="rId28" ref="D14"/>
    <hyperlink r:id="rId29" ref="M14"/>
    <hyperlink r:id="rId30" ref="D15"/>
    <hyperlink r:id="rId31" ref="M15"/>
    <hyperlink r:id="rId32" ref="D16"/>
    <hyperlink r:id="rId33" ref="M16"/>
    <hyperlink r:id="rId34" ref="D17"/>
    <hyperlink r:id="rId35" ref="M17"/>
    <hyperlink r:id="rId36" ref="D18"/>
    <hyperlink r:id="rId37" ref="M18"/>
    <hyperlink r:id="rId38" ref="D19"/>
    <hyperlink r:id="rId39" ref="M19"/>
    <hyperlink r:id="rId40" ref="D20"/>
    <hyperlink r:id="rId41" ref="M20"/>
    <hyperlink r:id="rId42" ref="D21"/>
    <hyperlink r:id="rId43" ref="M21"/>
    <hyperlink r:id="rId44" ref="D22"/>
    <hyperlink r:id="rId45" ref="M22"/>
    <hyperlink r:id="rId46" ref="D23"/>
    <hyperlink r:id="rId47" ref="M23"/>
    <hyperlink r:id="rId48" ref="D24"/>
    <hyperlink r:id="rId49" ref="M24"/>
    <hyperlink r:id="rId50" ref="D25"/>
    <hyperlink r:id="rId51" ref="M25"/>
    <hyperlink r:id="rId52" ref="D26"/>
    <hyperlink r:id="rId53" ref="M26"/>
    <hyperlink r:id="rId54" ref="D27"/>
    <hyperlink r:id="rId55" ref="M27"/>
    <hyperlink r:id="rId56" ref="D28"/>
    <hyperlink r:id="rId57" ref="M28"/>
    <hyperlink r:id="rId58" ref="D29"/>
    <hyperlink r:id="rId59" ref="M29"/>
    <hyperlink r:id="rId60" ref="D30"/>
    <hyperlink r:id="rId61" ref="M30"/>
    <hyperlink r:id="rId62" ref="D31"/>
    <hyperlink r:id="rId63" ref="M31"/>
    <hyperlink r:id="rId64" ref="D32"/>
    <hyperlink r:id="rId65" ref="M32"/>
    <hyperlink r:id="rId66" ref="D33"/>
    <hyperlink r:id="rId67" ref="M33"/>
    <hyperlink r:id="rId68" ref="D34"/>
    <hyperlink r:id="rId69" ref="M34"/>
    <hyperlink r:id="rId70" ref="D35"/>
    <hyperlink r:id="rId71" ref="M35"/>
    <hyperlink r:id="rId72" ref="D36"/>
    <hyperlink r:id="rId73" ref="M36"/>
    <hyperlink r:id="rId74" ref="D37"/>
    <hyperlink r:id="rId75" ref="M37"/>
    <hyperlink r:id="rId76" ref="D38"/>
    <hyperlink r:id="rId77" ref="M38"/>
    <hyperlink r:id="rId78" ref="D39"/>
    <hyperlink r:id="rId79" ref="M39"/>
    <hyperlink r:id="rId80" ref="D40"/>
    <hyperlink r:id="rId81" ref="M40"/>
    <hyperlink r:id="rId82" ref="D41"/>
    <hyperlink r:id="rId83" ref="M41"/>
    <hyperlink r:id="rId84" ref="D42"/>
    <hyperlink r:id="rId85" ref="M42"/>
    <hyperlink r:id="rId86" ref="D43"/>
    <hyperlink r:id="rId87" ref="M43"/>
    <hyperlink r:id="rId88" ref="D44"/>
    <hyperlink r:id="rId89" ref="M44"/>
    <hyperlink r:id="rId90" ref="D45"/>
    <hyperlink r:id="rId91" ref="M45"/>
    <hyperlink r:id="rId92" ref="D46"/>
    <hyperlink r:id="rId93" ref="M46"/>
    <hyperlink r:id="rId94" ref="D47"/>
    <hyperlink r:id="rId95" ref="M47"/>
    <hyperlink r:id="rId96" ref="D48"/>
    <hyperlink r:id="rId97" ref="M48"/>
    <hyperlink r:id="rId98" ref="D49"/>
    <hyperlink r:id="rId99" ref="M49"/>
    <hyperlink r:id="rId100" ref="D50"/>
    <hyperlink r:id="rId101" ref="M50"/>
    <hyperlink r:id="rId102" ref="D51"/>
    <hyperlink r:id="rId103" ref="M51"/>
    <hyperlink r:id="rId104" ref="D52"/>
    <hyperlink r:id="rId105" ref="M52"/>
    <hyperlink r:id="rId106" ref="D53"/>
    <hyperlink r:id="rId107" ref="M53"/>
    <hyperlink r:id="rId108" ref="D54"/>
    <hyperlink r:id="rId109" ref="M54"/>
    <hyperlink r:id="rId110" ref="D55"/>
    <hyperlink r:id="rId111" ref="M55"/>
    <hyperlink r:id="rId112" ref="D56"/>
    <hyperlink r:id="rId113" ref="M56"/>
    <hyperlink r:id="rId114" ref="D57"/>
    <hyperlink r:id="rId115" ref="M57"/>
    <hyperlink r:id="rId116" ref="D58"/>
    <hyperlink r:id="rId117" ref="M58"/>
    <hyperlink r:id="rId118" ref="D59"/>
    <hyperlink r:id="rId119" ref="M59"/>
    <hyperlink r:id="rId120" ref="D60"/>
    <hyperlink r:id="rId121" ref="M60"/>
    <hyperlink r:id="rId122" ref="D61"/>
    <hyperlink r:id="rId123" ref="D62"/>
    <hyperlink r:id="rId124" ref="D63"/>
    <hyperlink r:id="rId125" ref="D64"/>
    <hyperlink r:id="rId126" ref="D65"/>
    <hyperlink r:id="rId127" ref="D66"/>
    <hyperlink r:id="rId128" ref="D67"/>
    <hyperlink r:id="rId129" ref="D68"/>
    <hyperlink r:id="rId130" ref="D69"/>
    <hyperlink r:id="rId131" ref="D70"/>
    <hyperlink r:id="rId132" ref="D71"/>
    <hyperlink r:id="rId133" ref="D72"/>
    <hyperlink r:id="rId134" ref="D73"/>
    <hyperlink r:id="rId135" ref="D74"/>
    <hyperlink r:id="rId136" ref="D75"/>
    <hyperlink r:id="rId137" ref="D76"/>
    <hyperlink r:id="rId138" ref="D77"/>
    <hyperlink r:id="rId139" ref="D78"/>
    <hyperlink r:id="rId140" ref="D79"/>
    <hyperlink r:id="rId141" ref="D80"/>
    <hyperlink r:id="rId142" ref="D81"/>
    <hyperlink r:id="rId143" ref="D82"/>
    <hyperlink r:id="rId144" ref="D83"/>
    <hyperlink r:id="rId145" ref="D84"/>
    <hyperlink r:id="rId146" ref="D85"/>
  </hyperlinks>
  <drawing r:id="rId147"/>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18.88"/>
    <col customWidth="1" min="6" max="6" width="22.38"/>
    <col customWidth="1" min="7" max="7" width="10.75"/>
    <col customWidth="1" min="8" max="8" width="43.88"/>
    <col customWidth="1" min="9" max="11" width="0.63"/>
    <col customWidth="1" min="12" max="12" width="11.88"/>
    <col customWidth="1" min="13" max="13" width="48.0"/>
    <col customWidth="1" min="14" max="14" width="20.13"/>
    <col customWidth="1" min="15" max="15" width="22.38"/>
    <col customWidth="1" min="16" max="16" width="10.75"/>
    <col customWidth="1" min="17" max="17" width="43.88"/>
    <col customWidth="1" min="18" max="19" width="0.63"/>
  </cols>
  <sheetData>
    <row r="1" ht="27.75" customHeight="1" outlineLevel="1">
      <c r="A1" s="130"/>
      <c r="B1" s="130"/>
      <c r="C1" s="131" t="s">
        <v>160</v>
      </c>
      <c r="I1" s="130"/>
      <c r="J1" s="130"/>
      <c r="K1" s="130"/>
      <c r="L1" s="131" t="s">
        <v>229</v>
      </c>
      <c r="R1" s="130"/>
      <c r="S1" s="130"/>
    </row>
    <row r="2" outlineLevel="1">
      <c r="A2" s="132"/>
      <c r="B2" s="132"/>
      <c r="C2" s="133" t="s">
        <v>1986</v>
      </c>
      <c r="I2" s="132"/>
      <c r="J2" s="132"/>
      <c r="K2" s="132"/>
      <c r="L2" s="133" t="s">
        <v>1986</v>
      </c>
      <c r="R2" s="132"/>
      <c r="S2" s="132"/>
    </row>
    <row r="3" outlineLevel="1">
      <c r="A3" s="134"/>
      <c r="B3" s="134"/>
      <c r="C3" s="135" t="str">
        <f>IFERROR(__xludf.DUMMYFUNCTION("IFERROR(UNIQUE(FILTER('Competency Learning Paths'!N:N,'Competency Learning Paths'!A:A= C1)))"),"Effective Teams,Team Building, Building a Successful Team, Influence Teams, Inspiring Employees")</f>
        <v>Effective Teams,Team Building, Building a Successful Team, Influence Teams, Inspiring Employees</v>
      </c>
      <c r="I3" s="134"/>
      <c r="J3" s="134"/>
      <c r="K3" s="134"/>
      <c r="L3" s="135" t="str">
        <f>IFERROR(__xludf.DUMMYFUNCTION("IFERROR(UNIQUE(FILTER('Competency Learning Paths'!N:N,'Competency Learning Paths'!A:A= L1)))"),"Building Trust, Peer Relationships, Collaboration, Approachability, Teamwork, Building Strategic Working Relationships, Gaining Commitment, Compassion, Building Positive Working Relationships, Integrity and Trust, Builds Networks, Instills Trust")</f>
        <v>Building Trust, Peer Relationships, Collaboration, Approachability, Teamwork, Building Strategic Working Relationships, Gaining Commitment, Compassion, Building Positive Working Relationships, Integrity and Trust, Builds Networks, Instills Trust</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IFERROR(__xludf.DUMMYFUNCTION("""COMPUTED_VALUE"""),693111.0)</f>
        <v>693111</v>
      </c>
      <c r="D5" s="145" t="str">
        <f>IFERROR(__xludf.DUMMYFUNCTION("""COMPUTED_VALUE"""),"CMO Foundations: Creating a Marketing Culture")</f>
        <v>CMO Foundations: Creating a Marketing Culture</v>
      </c>
      <c r="E5" s="141" t="str">
        <f>IFERROR(__xludf.DUMMYFUNCTION("""COMPUTED_VALUE"""),"C-Suite")</f>
        <v>C-Suite</v>
      </c>
      <c r="F5" s="141" t="str">
        <f>IFERROR(__xludf.DUMMYFUNCTION("""COMPUTED_VALUE"""),"Advanced")</f>
        <v>Advanced</v>
      </c>
      <c r="G5" s="143">
        <f>IFERROR(__xludf.DUMMYFUNCTION("""COMPUTED_VALUE"""),0.04199074074074074)</f>
        <v>0.04199074074</v>
      </c>
      <c r="H5" s="144" t="str">
        <f>IFERROR(__xludf.DUMMYFUNCTION("""COMPUTED_VALUE"""),"Build a Company Learning and Development Program")</f>
        <v>Build a Company Learning and Development Program</v>
      </c>
      <c r="I5" s="140"/>
      <c r="J5" s="140"/>
      <c r="K5" s="140"/>
      <c r="L5" s="141">
        <f>IFERROR(__xludf.DUMMYFUNCTION("""COMPUTED_VALUE"""),645013.0)</f>
        <v>645013</v>
      </c>
      <c r="M5" s="145" t="str">
        <f>IFERROR(__xludf.DUMMYFUNCTION("""COMPUTED_VALUE"""),"Inclusive Leadership")</f>
        <v>Inclusive Leadership</v>
      </c>
      <c r="N5" s="141" t="str">
        <f>IFERROR(__xludf.DUMMYFUNCTION("""COMPUTED_VALUE"""),"C-Suite")</f>
        <v>C-Suite</v>
      </c>
      <c r="O5" s="141" t="str">
        <f>IFERROR(__xludf.DUMMYFUNCTION("""COMPUTED_VALUE"""),"Intermediate")</f>
        <v>Intermediate</v>
      </c>
      <c r="P5" s="146">
        <f>IFERROR(__xludf.DUMMYFUNCTION("""COMPUTED_VALUE"""),0.04212962962962963)</f>
        <v>0.04212962963</v>
      </c>
      <c r="Q5" s="144" t="str">
        <f>IFERROR(__xludf.DUMMYFUNCTION("""COMPUTED_VALUE"""),"Advance Your Skills as an Individual Contributor")</f>
        <v>Advance Your Skills as an Individual Contributor</v>
      </c>
      <c r="R5" s="140"/>
      <c r="S5" s="140"/>
    </row>
    <row r="6" ht="33.75" customHeight="1">
      <c r="A6" s="140"/>
      <c r="B6" s="140"/>
      <c r="C6" s="147">
        <f>IFERROR(__xludf.DUMMYFUNCTION("""COMPUTED_VALUE"""),580628.0)</f>
        <v>580628</v>
      </c>
      <c r="D6" s="150" t="str">
        <f>IFERROR(__xludf.DUMMYFUNCTION("""COMPUTED_VALUE"""),"The New Rules of Work")</f>
        <v>The New Rules of Work</v>
      </c>
      <c r="E6" s="147" t="str">
        <f>IFERROR(__xludf.DUMMYFUNCTION("""COMPUTED_VALUE"""),"C-Suite")</f>
        <v>C-Suite</v>
      </c>
      <c r="F6" s="141" t="str">
        <f>IFERROR(__xludf.DUMMYFUNCTION("""COMPUTED_VALUE"""),"Beginner")</f>
        <v>Beginner</v>
      </c>
      <c r="G6" s="143">
        <f>IFERROR(__xludf.DUMMYFUNCTION("""COMPUTED_VALUE"""),0.03782407407407407)</f>
        <v>0.03782407407</v>
      </c>
      <c r="H6" s="149" t="str">
        <f>IFERROR(__xludf.DUMMYFUNCTION("""COMPUTED_VALUE"""),"Build and Manage Effective Teams ")</f>
        <v>Build and Manage Effective Teams </v>
      </c>
      <c r="I6" s="140"/>
      <c r="J6" s="140"/>
      <c r="K6" s="140"/>
      <c r="L6" s="147">
        <f>IFERROR(__xludf.DUMMYFUNCTION("""COMPUTED_VALUE"""),2825259.0)</f>
        <v>2825259</v>
      </c>
      <c r="M6" s="150" t="str">
        <f>IFERROR(__xludf.DUMMYFUNCTION("""COMPUTED_VALUE"""),"Creating a Culture of Collaboration")</f>
        <v>Creating a Culture of Collaboration</v>
      </c>
      <c r="N6" s="147" t="str">
        <f>IFERROR(__xludf.DUMMYFUNCTION("""COMPUTED_VALUE"""),"C-Suite")</f>
        <v>C-Suite</v>
      </c>
      <c r="O6" s="141" t="str">
        <f>IFERROR(__xludf.DUMMYFUNCTION("""COMPUTED_VALUE"""),"Intermediate")</f>
        <v>Intermediate</v>
      </c>
      <c r="P6" s="146">
        <f>IFERROR(__xludf.DUMMYFUNCTION("""COMPUTED_VALUE"""),0.01840277777777778)</f>
        <v>0.01840277778</v>
      </c>
      <c r="Q6" s="149" t="str">
        <f>IFERROR(__xludf.DUMMYFUNCTION("""COMPUTED_VALUE"""),"Become an Inclusive Leader")</f>
        <v>Become an Inclusive Leader</v>
      </c>
      <c r="R6" s="140"/>
      <c r="S6" s="140"/>
    </row>
    <row r="7" ht="33.75" customHeight="1">
      <c r="A7" s="140"/>
      <c r="B7" s="140"/>
      <c r="C7" s="147">
        <f>IFERROR(__xludf.DUMMYFUNCTION("""COMPUTED_VALUE"""),479849.0)</f>
        <v>479849</v>
      </c>
      <c r="D7" s="150" t="str">
        <f>IFERROR(__xludf.DUMMYFUNCTION("""COMPUTED_VALUE"""),"Reid Hoffman and Chris Yeh on Creating an Alliance with Employees")</f>
        <v>Reid Hoffman and Chris Yeh on Creating an Alliance with Employees</v>
      </c>
      <c r="E7" s="147" t="str">
        <f>IFERROR(__xludf.DUMMYFUNCTION("""COMPUTED_VALUE"""),"C-Suite")</f>
        <v>C-Suite</v>
      </c>
      <c r="F7" s="141" t="str">
        <f>IFERROR(__xludf.DUMMYFUNCTION("""COMPUTED_VALUE"""),"General")</f>
        <v>General</v>
      </c>
      <c r="G7" s="143">
        <f>IFERROR(__xludf.DUMMYFUNCTION("""COMPUTED_VALUE"""),0.05971064814814815)</f>
        <v>0.05971064815</v>
      </c>
      <c r="H7" s="149" t="str">
        <f>IFERROR(__xludf.DUMMYFUNCTION("""COMPUTED_VALUE"""),"Fostering Collaboration")</f>
        <v>Fostering Collaboration</v>
      </c>
      <c r="I7" s="140"/>
      <c r="J7" s="140"/>
      <c r="K7" s="140"/>
      <c r="L7" s="147">
        <f>IFERROR(__xludf.DUMMYFUNCTION("""COMPUTED_VALUE"""),479849.0)</f>
        <v>479849</v>
      </c>
      <c r="M7" s="150" t="str">
        <f>IFERROR(__xludf.DUMMYFUNCTION("""COMPUTED_VALUE"""),"Reid Hoffman and Chris Yeh on Creating an Alliance with Employees")</f>
        <v>Reid Hoffman and Chris Yeh on Creating an Alliance with Employees</v>
      </c>
      <c r="N7" s="147" t="str">
        <f>IFERROR(__xludf.DUMMYFUNCTION("""COMPUTED_VALUE"""),"C-Suite")</f>
        <v>C-Suite</v>
      </c>
      <c r="O7" s="141" t="str">
        <f>IFERROR(__xludf.DUMMYFUNCTION("""COMPUTED_VALUE"""),"General")</f>
        <v>General</v>
      </c>
      <c r="P7" s="146">
        <f>IFERROR(__xludf.DUMMYFUNCTION("""COMPUTED_VALUE"""),0.05971064814814815)</f>
        <v>0.05971064815</v>
      </c>
      <c r="Q7" s="149" t="str">
        <f>IFERROR(__xludf.DUMMYFUNCTION("""COMPUTED_VALUE"""),"Building Trust and Collaborating with Others")</f>
        <v>Building Trust and Collaborating with Others</v>
      </c>
      <c r="R7" s="140"/>
      <c r="S7" s="140"/>
    </row>
    <row r="8" ht="33.75" customHeight="1">
      <c r="A8" s="140"/>
      <c r="B8" s="140"/>
      <c r="C8" s="147">
        <f>IFERROR(__xludf.DUMMYFUNCTION("""COMPUTED_VALUE"""),797722.0)</f>
        <v>797722</v>
      </c>
      <c r="D8" s="150" t="str">
        <f>IFERROR(__xludf.DUMMYFUNCTION("""COMPUTED_VALUE"""),"Doing Good to Build a Profitable Business")</f>
        <v>Doing Good to Build a Profitable Business</v>
      </c>
      <c r="E8" s="147" t="str">
        <f>IFERROR(__xludf.DUMMYFUNCTION("""COMPUTED_VALUE"""),"C-Suite")</f>
        <v>C-Suite</v>
      </c>
      <c r="F8" s="141" t="str">
        <f>IFERROR(__xludf.DUMMYFUNCTION("""COMPUTED_VALUE"""),"Intermediate")</f>
        <v>Intermediate</v>
      </c>
      <c r="G8" s="143">
        <f>IFERROR(__xludf.DUMMYFUNCTION("""COMPUTED_VALUE"""),0.030983796296296297)</f>
        <v>0.0309837963</v>
      </c>
      <c r="H8" s="149" t="str">
        <f>IFERROR(__xludf.DUMMYFUNCTION("""COMPUTED_VALUE"""),"Improve Your Coaching Skills as a Manager")</f>
        <v>Improve Your Coaching Skills as a Manager</v>
      </c>
      <c r="I8" s="140"/>
      <c r="J8" s="140"/>
      <c r="K8" s="140"/>
      <c r="L8" s="147">
        <f>IFERROR(__xludf.DUMMYFUNCTION("""COMPUTED_VALUE"""),700792.0)</f>
        <v>700792</v>
      </c>
      <c r="M8" s="150" t="str">
        <f>IFERROR(__xludf.DUMMYFUNCTION("""COMPUTED_VALUE"""),"Employee Experience")</f>
        <v>Employee Experience</v>
      </c>
      <c r="N8" s="147" t="str">
        <f>IFERROR(__xludf.DUMMYFUNCTION("""COMPUTED_VALUE"""),"Senior Manager")</f>
        <v>Senior Manager</v>
      </c>
      <c r="O8" s="141" t="str">
        <f>IFERROR(__xludf.DUMMYFUNCTION("""COMPUTED_VALUE"""),"Intermediate")</f>
        <v>Intermediate</v>
      </c>
      <c r="P8" s="146">
        <f>IFERROR(__xludf.DUMMYFUNCTION("""COMPUTED_VALUE"""),0.025138888888888888)</f>
        <v>0.02513888889</v>
      </c>
      <c r="Q8" s="149" t="str">
        <f>IFERROR(__xludf.DUMMYFUNCTION("""COMPUTED_VALUE"""),"Digital Transformation in Practice: Virtual Collaboration Tools")</f>
        <v>Digital Transformation in Practice: Virtual Collaboration Tools</v>
      </c>
      <c r="R8" s="140"/>
      <c r="S8" s="140"/>
    </row>
    <row r="9" ht="33.75" customHeight="1">
      <c r="A9" s="140"/>
      <c r="B9" s="140"/>
      <c r="C9" s="147">
        <f>IFERROR(__xludf.DUMMYFUNCTION("""COMPUTED_VALUE"""),574670.0)</f>
        <v>574670</v>
      </c>
      <c r="D9" s="148" t="str">
        <f>IFERROR(__xludf.DUMMYFUNCTION("""COMPUTED_VALUE"""),"Creating a High Performance Culture")</f>
        <v>Creating a High Performance Culture</v>
      </c>
      <c r="E9" s="147" t="str">
        <f>IFERROR(__xludf.DUMMYFUNCTION("""COMPUTED_VALUE"""),"Senior Manager")</f>
        <v>Senior Manager</v>
      </c>
      <c r="F9" s="141" t="str">
        <f>IFERROR(__xludf.DUMMYFUNCTION("""COMPUTED_VALUE"""),"Advanced")</f>
        <v>Advanced</v>
      </c>
      <c r="G9" s="143">
        <f>IFERROR(__xludf.DUMMYFUNCTION("""COMPUTED_VALUE"""),0.04457175925925926)</f>
        <v>0.04457175926</v>
      </c>
      <c r="H9" s="149" t="str">
        <f>IFERROR(__xludf.DUMMYFUNCTION("""COMPUTED_VALUE"""),"Managing Performance")</f>
        <v>Managing Performance</v>
      </c>
      <c r="I9" s="140"/>
      <c r="J9" s="140"/>
      <c r="K9" s="140"/>
      <c r="L9" s="147">
        <f>IFERROR(__xludf.DUMMYFUNCTION("""COMPUTED_VALUE"""),5028617.0)</f>
        <v>5028617</v>
      </c>
      <c r="M9" s="148" t="str">
        <f>IFERROR(__xludf.DUMMYFUNCTION("""COMPUTED_VALUE"""),"Communicating Values")</f>
        <v>Communicating Values</v>
      </c>
      <c r="N9" s="147" t="str">
        <f>IFERROR(__xludf.DUMMYFUNCTION("""COMPUTED_VALUE"""),"Senior Manager")</f>
        <v>Senior Manager</v>
      </c>
      <c r="O9" s="141" t="str">
        <f>IFERROR(__xludf.DUMMYFUNCTION("""COMPUTED_VALUE"""),"Intermediate")</f>
        <v>Intermediate</v>
      </c>
      <c r="P9" s="143">
        <f>IFERROR(__xludf.DUMMYFUNCTION("""COMPUTED_VALUE"""),0.024733796296296295)</f>
        <v>0.0247337963</v>
      </c>
      <c r="Q9" s="149" t="str">
        <f>IFERROR(__xludf.DUMMYFUNCTION("""COMPUTED_VALUE"""),"Fostering Collaboration")</f>
        <v>Fostering Collaboration</v>
      </c>
      <c r="R9" s="140"/>
      <c r="S9" s="140"/>
    </row>
    <row r="10" ht="33.75" customHeight="1">
      <c r="A10" s="140"/>
      <c r="B10" s="140"/>
      <c r="C10" s="147">
        <f>IFERROR(__xludf.DUMMYFUNCTION("""COMPUTED_VALUE"""),2424658.0)</f>
        <v>2424658</v>
      </c>
      <c r="D10" s="148" t="str">
        <f>IFERROR(__xludf.DUMMYFUNCTION("""COMPUTED_VALUE"""),"The Long-Distance Leader (getAbstract Summary)")</f>
        <v>The Long-Distance Leader (getAbstract Summary)</v>
      </c>
      <c r="E10" s="147" t="str">
        <f>IFERROR(__xludf.DUMMYFUNCTION("""COMPUTED_VALUE"""),"Senior Manager")</f>
        <v>Senior Manager</v>
      </c>
      <c r="F10" s="141" t="str">
        <f>IFERROR(__xludf.DUMMYFUNCTION("""COMPUTED_VALUE"""),"Beginner")</f>
        <v>Beginner</v>
      </c>
      <c r="G10" s="143">
        <f>IFERROR(__xludf.DUMMYFUNCTION("""COMPUTED_VALUE"""),0.01068287037037037)</f>
        <v>0.01068287037</v>
      </c>
      <c r="H10" s="158" t="str">
        <f>IFERROR(__xludf.DUMMYFUNCTION("""COMPUTED_VALUE"""),"Improve Your Teamwork Skills")</f>
        <v>Improve Your Teamwork Skills</v>
      </c>
      <c r="I10" s="140"/>
      <c r="J10" s="140"/>
      <c r="K10" s="140"/>
      <c r="L10" s="147">
        <f>IFERROR(__xludf.DUMMYFUNCTION("""COMPUTED_VALUE"""),2421832.0)</f>
        <v>2421832</v>
      </c>
      <c r="M10" s="148" t="str">
        <f>IFERROR(__xludf.DUMMYFUNCTION("""COMPUTED_VALUE"""),"Leading Together: Coleading a Project, Team, or Organization")</f>
        <v>Leading Together: Coleading a Project, Team, or Organization</v>
      </c>
      <c r="N10" s="147" t="str">
        <f>IFERROR(__xludf.DUMMYFUNCTION("""COMPUTED_VALUE"""),"Senior Manager")</f>
        <v>Senior Manager</v>
      </c>
      <c r="O10" s="141" t="str">
        <f>IFERROR(__xludf.DUMMYFUNCTION("""COMPUTED_VALUE"""),"Intermediate")</f>
        <v>Intermediate</v>
      </c>
      <c r="P10" s="143">
        <f>IFERROR(__xludf.DUMMYFUNCTION("""COMPUTED_VALUE"""),0.03429398148148148)</f>
        <v>0.03429398148</v>
      </c>
      <c r="Q10" s="158" t="str">
        <f>IFERROR(__xludf.DUMMYFUNCTION("""COMPUTED_VALUE"""),"Improve Your Teamwork Skills")</f>
        <v>Improve Your Teamwork Skills</v>
      </c>
      <c r="R10" s="140"/>
      <c r="S10" s="140"/>
    </row>
    <row r="11" ht="33.75" customHeight="1">
      <c r="A11" s="140"/>
      <c r="B11" s="140"/>
      <c r="C11" s="147">
        <f>IFERROR(__xludf.DUMMYFUNCTION("""COMPUTED_VALUE"""),661748.0)</f>
        <v>661748</v>
      </c>
      <c r="D11" s="148" t="str">
        <f>IFERROR(__xludf.DUMMYFUNCTION("""COMPUTED_VALUE"""),"Rewarding Employee Performance")</f>
        <v>Rewarding Employee Performance</v>
      </c>
      <c r="E11" s="147" t="str">
        <f>IFERROR(__xludf.DUMMYFUNCTION("""COMPUTED_VALUE"""),"Senior Manager")</f>
        <v>Senior Manager</v>
      </c>
      <c r="F11" s="141" t="str">
        <f>IFERROR(__xludf.DUMMYFUNCTION("""COMPUTED_VALUE"""),"Beginner + Intermediate")</f>
        <v>Beginner + Intermediate</v>
      </c>
      <c r="G11" s="143">
        <f>IFERROR(__xludf.DUMMYFUNCTION("""COMPUTED_VALUE"""),0.03037037037037037)</f>
        <v>0.03037037037</v>
      </c>
      <c r="H11" s="151"/>
      <c r="I11" s="140"/>
      <c r="J11" s="140"/>
      <c r="K11" s="140"/>
      <c r="L11" s="147">
        <f>IFERROR(__xludf.DUMMYFUNCTION("""COMPUTED_VALUE"""),2242035.0)</f>
        <v>2242035</v>
      </c>
      <c r="M11" s="148" t="str">
        <f>IFERROR(__xludf.DUMMYFUNCTION("""COMPUTED_VALUE"""),"Humble Leadership: The Power of Relationships, Openness, and Trust (getAbstract Summary)")</f>
        <v>Humble Leadership: The Power of Relationships, Openness, and Trust (getAbstract Summary)</v>
      </c>
      <c r="N11" s="147" t="str">
        <f>IFERROR(__xludf.DUMMYFUNCTION("""COMPUTED_VALUE"""),"Senior Manager")</f>
        <v>Senior Manager</v>
      </c>
      <c r="O11" s="141" t="str">
        <f>IFERROR(__xludf.DUMMYFUNCTION("""COMPUTED_VALUE"""),"General")</f>
        <v>General</v>
      </c>
      <c r="P11" s="143">
        <f>IFERROR(__xludf.DUMMYFUNCTION("""COMPUTED_VALUE"""),0.009224537037037036)</f>
        <v>0.009224537037</v>
      </c>
      <c r="Q11" s="151"/>
      <c r="R11" s="140"/>
      <c r="S11" s="140"/>
    </row>
    <row r="12" ht="33.75" customHeight="1">
      <c r="A12" s="140"/>
      <c r="B12" s="140"/>
      <c r="C12" s="147">
        <f>IFERROR(__xludf.DUMMYFUNCTION("""COMPUTED_VALUE"""),2819025.0)</f>
        <v>2819025</v>
      </c>
      <c r="D12" s="148" t="str">
        <f>IFERROR(__xludf.DUMMYFUNCTION("""COMPUTED_VALUE"""),"Communicating to Drive People to Take Action")</f>
        <v>Communicating to Drive People to Take Action</v>
      </c>
      <c r="E12" s="147" t="str">
        <f>IFERROR(__xludf.DUMMYFUNCTION("""COMPUTED_VALUE"""),"Senior Manager")</f>
        <v>Senior Manager</v>
      </c>
      <c r="F12" s="141" t="str">
        <f>IFERROR(__xludf.DUMMYFUNCTION("""COMPUTED_VALUE"""),"Beginner + Intermediate")</f>
        <v>Beginner + Intermediate</v>
      </c>
      <c r="G12" s="143">
        <f>IFERROR(__xludf.DUMMYFUNCTION("""COMPUTED_VALUE"""),0.024826388888888887)</f>
        <v>0.02482638889</v>
      </c>
      <c r="H12" s="151"/>
      <c r="I12" s="140"/>
      <c r="J12" s="140"/>
      <c r="K12" s="140"/>
      <c r="L12" s="147">
        <f>IFERROR(__xludf.DUMMYFUNCTION("""COMPUTED_VALUE"""),2315934.0)</f>
        <v>2315934</v>
      </c>
      <c r="M12" s="148" t="str">
        <f>IFERROR(__xludf.DUMMYFUNCTION("""COMPUTED_VALUE"""),"Supporting a Grieving Employee: A Manager's Guide")</f>
        <v>Supporting a Grieving Employee: A Manager's Guide</v>
      </c>
      <c r="N12" s="147" t="str">
        <f>IFERROR(__xludf.DUMMYFUNCTION("""COMPUTED_VALUE"""),"Manager")</f>
        <v>Manager</v>
      </c>
      <c r="O12" s="141" t="str">
        <f>IFERROR(__xludf.DUMMYFUNCTION("""COMPUTED_VALUE"""),"Beginner + Intermediate")</f>
        <v>Beginner + Intermediate</v>
      </c>
      <c r="P12" s="143">
        <f>IFERROR(__xludf.DUMMYFUNCTION("""COMPUTED_VALUE"""),0.019131944444444444)</f>
        <v>0.01913194444</v>
      </c>
      <c r="Q12" s="151"/>
      <c r="R12" s="140"/>
      <c r="S12" s="140"/>
    </row>
    <row r="13" ht="33.75" customHeight="1">
      <c r="A13" s="140"/>
      <c r="B13" s="140"/>
      <c r="C13" s="147">
        <f>IFERROR(__xludf.DUMMYFUNCTION("""COMPUTED_VALUE"""),565364.0)</f>
        <v>565364</v>
      </c>
      <c r="D13" s="148" t="str">
        <f>IFERROR(__xludf.DUMMYFUNCTION("""COMPUTED_VALUE"""),"Managing New Managers")</f>
        <v>Managing New Managers</v>
      </c>
      <c r="E13" s="147" t="str">
        <f>IFERROR(__xludf.DUMMYFUNCTION("""COMPUTED_VALUE"""),"Senior Manager")</f>
        <v>Senior Manager</v>
      </c>
      <c r="F13" s="141" t="str">
        <f>IFERROR(__xludf.DUMMYFUNCTION("""COMPUTED_VALUE"""),"Intermediate")</f>
        <v>Intermediate</v>
      </c>
      <c r="G13" s="143">
        <f>IFERROR(__xludf.DUMMYFUNCTION("""COMPUTED_VALUE"""),0.01412037037037037)</f>
        <v>0.01412037037</v>
      </c>
      <c r="H13" s="152"/>
      <c r="I13" s="140"/>
      <c r="J13" s="140"/>
      <c r="K13" s="140"/>
      <c r="L13" s="147">
        <f>IFERROR(__xludf.DUMMYFUNCTION("""COMPUTED_VALUE"""),784280.0)</f>
        <v>784280</v>
      </c>
      <c r="M13" s="148" t="str">
        <f>IFERROR(__xludf.DUMMYFUNCTION("""COMPUTED_VALUE"""),"Leading Inclusive Teams")</f>
        <v>Leading Inclusive Teams</v>
      </c>
      <c r="N13" s="147" t="str">
        <f>IFERROR(__xludf.DUMMYFUNCTION("""COMPUTED_VALUE"""),"Manager")</f>
        <v>Manager</v>
      </c>
      <c r="O13" s="141" t="str">
        <f>IFERROR(__xludf.DUMMYFUNCTION("""COMPUTED_VALUE"""),"General")</f>
        <v>General</v>
      </c>
      <c r="P13" s="143">
        <f>IFERROR(__xludf.DUMMYFUNCTION("""COMPUTED_VALUE"""),0.04173611111111111)</f>
        <v>0.04173611111</v>
      </c>
      <c r="Q13" s="152"/>
      <c r="R13" s="140"/>
      <c r="S13" s="140"/>
    </row>
    <row r="14" ht="33.75" customHeight="1">
      <c r="A14" s="140"/>
      <c r="B14" s="140"/>
      <c r="C14" s="147">
        <f>IFERROR(__xludf.DUMMYFUNCTION("""COMPUTED_VALUE"""),427474.0)</f>
        <v>427474</v>
      </c>
      <c r="D14" s="148" t="str">
        <f>IFERROR(__xludf.DUMMYFUNCTION("""COMPUTED_VALUE"""),"Building Your Team")</f>
        <v>Building Your Team</v>
      </c>
      <c r="E14" s="147" t="str">
        <f>IFERROR(__xludf.DUMMYFUNCTION("""COMPUTED_VALUE"""),"Manager")</f>
        <v>Manager</v>
      </c>
      <c r="F14" s="141" t="str">
        <f>IFERROR(__xludf.DUMMYFUNCTION("""COMPUTED_VALUE"""),"Beginner")</f>
        <v>Beginner</v>
      </c>
      <c r="G14" s="143">
        <f>IFERROR(__xludf.DUMMYFUNCTION("""COMPUTED_VALUE"""),0.0390625)</f>
        <v>0.0390625</v>
      </c>
      <c r="H14" s="151"/>
      <c r="I14" s="140"/>
      <c r="J14" s="140"/>
      <c r="K14" s="140"/>
      <c r="L14" s="147">
        <f>IFERROR(__xludf.DUMMYFUNCTION("""COMPUTED_VALUE"""),2241057.0)</f>
        <v>2241057</v>
      </c>
      <c r="M14" s="148" t="str">
        <f>IFERROR(__xludf.DUMMYFUNCTION("""COMPUTED_VALUE"""),"What Are Your Blind Spots? (getAbstract Summary)")</f>
        <v>What Are Your Blind Spots? (getAbstract Summary)</v>
      </c>
      <c r="N14" s="147" t="str">
        <f>IFERROR(__xludf.DUMMYFUNCTION("""COMPUTED_VALUE"""),"Manager")</f>
        <v>Manager</v>
      </c>
      <c r="O14" s="141" t="str">
        <f>IFERROR(__xludf.DUMMYFUNCTION("""COMPUTED_VALUE"""),"General")</f>
        <v>General</v>
      </c>
      <c r="P14" s="143">
        <f>IFERROR(__xludf.DUMMYFUNCTION("""COMPUTED_VALUE"""),0.010046296296296296)</f>
        <v>0.0100462963</v>
      </c>
      <c r="Q14" s="151"/>
      <c r="R14" s="140"/>
      <c r="S14" s="140"/>
    </row>
    <row r="15" ht="33.75" customHeight="1">
      <c r="A15" s="140"/>
      <c r="B15" s="140"/>
      <c r="C15" s="147">
        <f>IFERROR(__xludf.DUMMYFUNCTION("""COMPUTED_VALUE"""),456353.0)</f>
        <v>456353</v>
      </c>
      <c r="D15" s="148" t="str">
        <f>IFERROR(__xludf.DUMMYFUNCTION("""COMPUTED_VALUE"""),"Setting Team and Employee Goals Using SMART Methodology")</f>
        <v>Setting Team and Employee Goals Using SMART Methodology</v>
      </c>
      <c r="E15" s="147" t="str">
        <f>IFERROR(__xludf.DUMMYFUNCTION("""COMPUTED_VALUE"""),"Manager")</f>
        <v>Manager</v>
      </c>
      <c r="F15" s="141" t="str">
        <f>IFERROR(__xludf.DUMMYFUNCTION("""COMPUTED_VALUE"""),"Beginner")</f>
        <v>Beginner</v>
      </c>
      <c r="G15" s="143">
        <f>IFERROR(__xludf.DUMMYFUNCTION("""COMPUTED_VALUE"""),0.03857638888888889)</f>
        <v>0.03857638889</v>
      </c>
      <c r="H15" s="151"/>
      <c r="I15" s="140"/>
      <c r="J15" s="140"/>
      <c r="K15" s="140"/>
      <c r="L15" s="147">
        <f>IFERROR(__xludf.DUMMYFUNCTION("""COMPUTED_VALUE"""),2243045.0)</f>
        <v>2243045</v>
      </c>
      <c r="M15" s="148" t="str">
        <f>IFERROR(__xludf.DUMMYFUNCTION("""COMPUTED_VALUE"""),"The Art of Connection: 7 Relationship-Building Skills Every Leader Needs Now (getAbstract Summary)")</f>
        <v>The Art of Connection: 7 Relationship-Building Skills Every Leader Needs Now (getAbstract Summary)</v>
      </c>
      <c r="N15" s="147" t="str">
        <f>IFERROR(__xludf.DUMMYFUNCTION("""COMPUTED_VALUE"""),"Manager")</f>
        <v>Manager</v>
      </c>
      <c r="O15" s="141" t="str">
        <f>IFERROR(__xludf.DUMMYFUNCTION("""COMPUTED_VALUE"""),"General")</f>
        <v>General</v>
      </c>
      <c r="P15" s="143">
        <f>IFERROR(__xludf.DUMMYFUNCTION("""COMPUTED_VALUE"""),0.006006944444444444)</f>
        <v>0.006006944444</v>
      </c>
      <c r="Q15" s="151"/>
      <c r="R15" s="140"/>
      <c r="S15" s="140"/>
    </row>
    <row r="16" ht="33.75" customHeight="1">
      <c r="A16" s="140"/>
      <c r="B16" s="140"/>
      <c r="C16" s="147">
        <f>IFERROR(__xludf.DUMMYFUNCTION("""COMPUTED_VALUE"""),2823297.0)</f>
        <v>2823297</v>
      </c>
      <c r="D16" s="148" t="str">
        <f>IFERROR(__xludf.DUMMYFUNCTION("""COMPUTED_VALUE"""),"Culture of Kaizen")</f>
        <v>Culture of Kaizen</v>
      </c>
      <c r="E16" s="147" t="str">
        <f>IFERROR(__xludf.DUMMYFUNCTION("""COMPUTED_VALUE"""),"Manager")</f>
        <v>Manager</v>
      </c>
      <c r="F16" s="141" t="str">
        <f>IFERROR(__xludf.DUMMYFUNCTION("""COMPUTED_VALUE"""),"Beginner")</f>
        <v>Beginner</v>
      </c>
      <c r="G16" s="143">
        <f>IFERROR(__xludf.DUMMYFUNCTION("""COMPUTED_VALUE"""),0.06542824074074075)</f>
        <v>0.06542824074</v>
      </c>
      <c r="H16" s="151"/>
      <c r="I16" s="140"/>
      <c r="J16" s="140"/>
      <c r="K16" s="140"/>
      <c r="L16" s="147">
        <f>IFERROR(__xludf.DUMMYFUNCTION("""COMPUTED_VALUE"""),2807856.0)</f>
        <v>2807856</v>
      </c>
      <c r="M16" s="148" t="str">
        <f>IFERROR(__xludf.DUMMYFUNCTION("""COMPUTED_VALUE"""),"Unlock Your Team's Creativity")</f>
        <v>Unlock Your Team's Creativity</v>
      </c>
      <c r="N16" s="147" t="str">
        <f>IFERROR(__xludf.DUMMYFUNCTION("""COMPUTED_VALUE"""),"Manager")</f>
        <v>Manager</v>
      </c>
      <c r="O16" s="141" t="str">
        <f>IFERROR(__xludf.DUMMYFUNCTION("""COMPUTED_VALUE"""),"General")</f>
        <v>General</v>
      </c>
      <c r="P16" s="143">
        <f>IFERROR(__xludf.DUMMYFUNCTION("""COMPUTED_VALUE"""),0.02775462962962963)</f>
        <v>0.02775462963</v>
      </c>
      <c r="Q16" s="151"/>
      <c r="R16" s="140"/>
      <c r="S16" s="140"/>
    </row>
    <row r="17" ht="33.75" customHeight="1">
      <c r="A17" s="140"/>
      <c r="B17" s="140"/>
      <c r="C17" s="147">
        <f>IFERROR(__xludf.DUMMYFUNCTION("""COMPUTED_VALUE"""),2825337.0)</f>
        <v>2825337</v>
      </c>
      <c r="D17" s="148" t="str">
        <f>IFERROR(__xludf.DUMMYFUNCTION("""COMPUTED_VALUE"""),"The Practices of High-Performing Employees")</f>
        <v>The Practices of High-Performing Employees</v>
      </c>
      <c r="E17" s="147" t="str">
        <f>IFERROR(__xludf.DUMMYFUNCTION("""COMPUTED_VALUE"""),"Manager")</f>
        <v>Manager</v>
      </c>
      <c r="F17" s="141" t="str">
        <f>IFERROR(__xludf.DUMMYFUNCTION("""COMPUTED_VALUE"""),"Beginner")</f>
        <v>Beginner</v>
      </c>
      <c r="G17" s="143">
        <f>IFERROR(__xludf.DUMMYFUNCTION("""COMPUTED_VALUE"""),0.014166666666666666)</f>
        <v>0.01416666667</v>
      </c>
      <c r="H17" s="151"/>
      <c r="I17" s="140"/>
      <c r="J17" s="140"/>
      <c r="K17" s="140"/>
      <c r="L17" s="147">
        <f>IFERROR(__xludf.DUMMYFUNCTION("""COMPUTED_VALUE"""),784278.0)</f>
        <v>784278</v>
      </c>
      <c r="M17" s="148" t="str">
        <f>IFERROR(__xludf.DUMMYFUNCTION("""COMPUTED_VALUE"""),"Managing and Working with a Technical Team for Nontechnical Professionals")</f>
        <v>Managing and Working with a Technical Team for Nontechnical Professionals</v>
      </c>
      <c r="N17" s="147" t="str">
        <f>IFERROR(__xludf.DUMMYFUNCTION("""COMPUTED_VALUE"""),"Manager")</f>
        <v>Manager</v>
      </c>
      <c r="O17" s="141" t="str">
        <f>IFERROR(__xludf.DUMMYFUNCTION("""COMPUTED_VALUE"""),"General")</f>
        <v>General</v>
      </c>
      <c r="P17" s="143">
        <f>IFERROR(__xludf.DUMMYFUNCTION("""COMPUTED_VALUE"""),0.034444444444444444)</f>
        <v>0.03444444444</v>
      </c>
      <c r="Q17" s="151"/>
      <c r="R17" s="140"/>
      <c r="S17" s="140"/>
    </row>
    <row r="18" ht="33.75" customHeight="1">
      <c r="A18" s="140"/>
      <c r="B18" s="140"/>
      <c r="C18" s="147">
        <f>IFERROR(__xludf.DUMMYFUNCTION("""COMPUTED_VALUE"""),2822314.0)</f>
        <v>2822314</v>
      </c>
      <c r="D18" s="148" t="str">
        <f>IFERROR(__xludf.DUMMYFUNCTION("""COMPUTED_VALUE"""),"How to Give and Receive Useful Feedback Every Month")</f>
        <v>How to Give and Receive Useful Feedback Every Month</v>
      </c>
      <c r="E18" s="147" t="str">
        <f>IFERROR(__xludf.DUMMYFUNCTION("""COMPUTED_VALUE"""),"Manager")</f>
        <v>Manager</v>
      </c>
      <c r="F18" s="141" t="str">
        <f>IFERROR(__xludf.DUMMYFUNCTION("""COMPUTED_VALUE"""),"Beginner")</f>
        <v>Beginner</v>
      </c>
      <c r="G18" s="143">
        <f>IFERROR(__xludf.DUMMYFUNCTION("""COMPUTED_VALUE"""),0.01792824074074074)</f>
        <v>0.01792824074</v>
      </c>
      <c r="H18" s="151"/>
      <c r="I18" s="140"/>
      <c r="J18" s="140"/>
      <c r="K18" s="140"/>
      <c r="L18" s="147">
        <f>IFERROR(__xludf.DUMMYFUNCTION("""COMPUTED_VALUE"""),656781.0)</f>
        <v>656781</v>
      </c>
      <c r="M18" s="148" t="str">
        <f>IFERROR(__xludf.DUMMYFUNCTION("""COMPUTED_VALUE"""),"Facilitation Skills for Managers and Leaders")</f>
        <v>Facilitation Skills for Managers and Leaders</v>
      </c>
      <c r="N18" s="147" t="str">
        <f>IFERROR(__xludf.DUMMYFUNCTION("""COMPUTED_VALUE"""),"Manager")</f>
        <v>Manager</v>
      </c>
      <c r="O18" s="141" t="str">
        <f>IFERROR(__xludf.DUMMYFUNCTION("""COMPUTED_VALUE"""),"Intermediate")</f>
        <v>Intermediate</v>
      </c>
      <c r="P18" s="143">
        <f>IFERROR(__xludf.DUMMYFUNCTION("""COMPUTED_VALUE"""),0.03)</f>
        <v>0.03</v>
      </c>
      <c r="Q18" s="151"/>
      <c r="R18" s="140"/>
      <c r="S18" s="140"/>
    </row>
    <row r="19" ht="33.75" customHeight="1">
      <c r="A19" s="140"/>
      <c r="B19" s="140"/>
      <c r="C19" s="147">
        <f>IFERROR(__xludf.DUMMYFUNCTION("""COMPUTED_VALUE"""),2367358.0)</f>
        <v>2367358</v>
      </c>
      <c r="D19" s="148" t="str">
        <f>IFERROR(__xludf.DUMMYFUNCTION("""COMPUTED_VALUE"""),"Productive Leadership")</f>
        <v>Productive Leadership</v>
      </c>
      <c r="E19" s="147" t="str">
        <f>IFERROR(__xludf.DUMMYFUNCTION("""COMPUTED_VALUE"""),"Manager")</f>
        <v>Manager</v>
      </c>
      <c r="F19" s="141" t="str">
        <f>IFERROR(__xludf.DUMMYFUNCTION("""COMPUTED_VALUE"""),"Beginner")</f>
        <v>Beginner</v>
      </c>
      <c r="G19" s="143">
        <f>IFERROR(__xludf.DUMMYFUNCTION("""COMPUTED_VALUE"""),0.017326388888888888)</f>
        <v>0.01732638889</v>
      </c>
      <c r="H19" s="151"/>
      <c r="I19" s="140"/>
      <c r="J19" s="140"/>
      <c r="K19" s="140"/>
      <c r="L19" s="147">
        <f>IFERROR(__xludf.DUMMYFUNCTION("""COMPUTED_VALUE"""),647652.0)</f>
        <v>647652</v>
      </c>
      <c r="M19" s="148" t="str">
        <f>IFERROR(__xludf.DUMMYFUNCTION("""COMPUTED_VALUE"""),"Igniting Emotional Engagement")</f>
        <v>Igniting Emotional Engagement</v>
      </c>
      <c r="N19" s="147" t="str">
        <f>IFERROR(__xludf.DUMMYFUNCTION("""COMPUTED_VALUE"""),"Manager")</f>
        <v>Manager</v>
      </c>
      <c r="O19" s="141" t="str">
        <f>IFERROR(__xludf.DUMMYFUNCTION("""COMPUTED_VALUE"""),"Intermediate")</f>
        <v>Intermediate</v>
      </c>
      <c r="P19" s="143">
        <f>IFERROR(__xludf.DUMMYFUNCTION("""COMPUTED_VALUE"""),0.032164351851851854)</f>
        <v>0.03216435185</v>
      </c>
      <c r="Q19" s="151"/>
      <c r="R19" s="140"/>
      <c r="S19" s="140"/>
    </row>
    <row r="20" ht="33.75" customHeight="1">
      <c r="A20" s="140"/>
      <c r="B20" s="140"/>
      <c r="C20" s="147">
        <f>IFERROR(__xludf.DUMMYFUNCTION("""COMPUTED_VALUE"""),2424735.0)</f>
        <v>2424735</v>
      </c>
      <c r="D20" s="148" t="str">
        <f>IFERROR(__xludf.DUMMYFUNCTION("""COMPUTED_VALUE"""),"Identify and Unleash Potential in Your Employees")</f>
        <v>Identify and Unleash Potential in Your Employees</v>
      </c>
      <c r="E20" s="147" t="str">
        <f>IFERROR(__xludf.DUMMYFUNCTION("""COMPUTED_VALUE"""),"Manager")</f>
        <v>Manager</v>
      </c>
      <c r="F20" s="141" t="str">
        <f>IFERROR(__xludf.DUMMYFUNCTION("""COMPUTED_VALUE"""),"Beginner")</f>
        <v>Beginner</v>
      </c>
      <c r="G20" s="143">
        <f>IFERROR(__xludf.DUMMYFUNCTION("""COMPUTED_VALUE"""),0.03719907407407407)</f>
        <v>0.03719907407</v>
      </c>
      <c r="H20" s="151"/>
      <c r="I20" s="140"/>
      <c r="J20" s="140"/>
      <c r="K20" s="140"/>
      <c r="L20" s="147">
        <f>IFERROR(__xludf.DUMMYFUNCTION("""COMPUTED_VALUE"""),711794.0)</f>
        <v>711794</v>
      </c>
      <c r="M20" s="148" t="str">
        <f>IFERROR(__xludf.DUMMYFUNCTION("""COMPUTED_VALUE"""),"Connecting with Executives")</f>
        <v>Connecting with Executives</v>
      </c>
      <c r="N20" s="147" t="str">
        <f>IFERROR(__xludf.DUMMYFUNCTION("""COMPUTED_VALUE"""),"Manager")</f>
        <v>Manager</v>
      </c>
      <c r="O20" s="141" t="str">
        <f>IFERROR(__xludf.DUMMYFUNCTION("""COMPUTED_VALUE"""),"Intermediate")</f>
        <v>Intermediate</v>
      </c>
      <c r="P20" s="143">
        <f>IFERROR(__xludf.DUMMYFUNCTION("""COMPUTED_VALUE"""),0.030208333333333334)</f>
        <v>0.03020833333</v>
      </c>
      <c r="Q20" s="151"/>
      <c r="R20" s="140"/>
      <c r="S20" s="140"/>
    </row>
    <row r="21" ht="33.75" customHeight="1">
      <c r="A21" s="140"/>
      <c r="B21" s="140"/>
      <c r="C21" s="147">
        <f>IFERROR(__xludf.DUMMYFUNCTION("""COMPUTED_VALUE"""),3009443.0)</f>
        <v>3009443</v>
      </c>
      <c r="D21" s="148" t="str">
        <f>IFERROR(__xludf.DUMMYFUNCTION("""COMPUTED_VALUE"""),"Virtual and Hybrid Meeting Essentials")</f>
        <v>Virtual and Hybrid Meeting Essentials</v>
      </c>
      <c r="E21" s="147" t="str">
        <f>IFERROR(__xludf.DUMMYFUNCTION("""COMPUTED_VALUE"""),"Manager")</f>
        <v>Manager</v>
      </c>
      <c r="F21" s="141" t="str">
        <f>IFERROR(__xludf.DUMMYFUNCTION("""COMPUTED_VALUE"""),"Beginner + Intermediate")</f>
        <v>Beginner + Intermediate</v>
      </c>
      <c r="G21" s="143">
        <f>IFERROR(__xludf.DUMMYFUNCTION("""COMPUTED_VALUE"""),0.0159375)</f>
        <v>0.0159375</v>
      </c>
      <c r="H21" s="151"/>
      <c r="I21" s="140"/>
      <c r="J21" s="140"/>
      <c r="K21" s="140"/>
      <c r="L21" s="147">
        <f>IFERROR(__xludf.DUMMYFUNCTION("""COMPUTED_VALUE"""),784283.0)</f>
        <v>784283</v>
      </c>
      <c r="M21" s="148" t="str">
        <f>IFERROR(__xludf.DUMMYFUNCTION("""COMPUTED_VALUE"""),"Managing in a Matrixed Organization")</f>
        <v>Managing in a Matrixed Organization</v>
      </c>
      <c r="N21" s="147" t="str">
        <f>IFERROR(__xludf.DUMMYFUNCTION("""COMPUTED_VALUE"""),"Manager")</f>
        <v>Manager</v>
      </c>
      <c r="O21" s="141" t="str">
        <f>IFERROR(__xludf.DUMMYFUNCTION("""COMPUTED_VALUE"""),"Intermediate")</f>
        <v>Intermediate</v>
      </c>
      <c r="P21" s="143">
        <f>IFERROR(__xludf.DUMMYFUNCTION("""COMPUTED_VALUE"""),0.028645833333333332)</f>
        <v>0.02864583333</v>
      </c>
      <c r="Q21" s="151"/>
      <c r="R21" s="140"/>
      <c r="S21" s="140"/>
    </row>
    <row r="22" ht="33.75" customHeight="1">
      <c r="A22" s="140"/>
      <c r="B22" s="140"/>
      <c r="C22" s="147">
        <f>IFERROR(__xludf.DUMMYFUNCTION("""COMPUTED_VALUE"""),2825332.0)</f>
        <v>2825332</v>
      </c>
      <c r="D22" s="148" t="str">
        <f>IFERROR(__xludf.DUMMYFUNCTION("""COMPUTED_VALUE"""),"Leading Virtual Meetings")</f>
        <v>Leading Virtual Meetings</v>
      </c>
      <c r="E22" s="147" t="str">
        <f>IFERROR(__xludf.DUMMYFUNCTION("""COMPUTED_VALUE"""),"Manager")</f>
        <v>Manager</v>
      </c>
      <c r="F22" s="141" t="str">
        <f>IFERROR(__xludf.DUMMYFUNCTION("""COMPUTED_VALUE"""),"Beginner + Intermediate")</f>
        <v>Beginner + Intermediate</v>
      </c>
      <c r="G22" s="143">
        <f>IFERROR(__xludf.DUMMYFUNCTION("""COMPUTED_VALUE"""),0.022650462962962963)</f>
        <v>0.02265046296</v>
      </c>
      <c r="H22" s="151"/>
      <c r="I22" s="140"/>
      <c r="J22" s="140"/>
      <c r="K22" s="140"/>
      <c r="L22" s="147">
        <f>IFERROR(__xludf.DUMMYFUNCTION("""COMPUTED_VALUE"""),2802466.0)</f>
        <v>2802466</v>
      </c>
      <c r="M22" s="148" t="str">
        <f>IFERROR(__xludf.DUMMYFUNCTION("""COMPUTED_VALUE"""),"Be a Better Manager by Motivating Your Team")</f>
        <v>Be a Better Manager by Motivating Your Team</v>
      </c>
      <c r="N22" s="147" t="str">
        <f>IFERROR(__xludf.DUMMYFUNCTION("""COMPUTED_VALUE"""),"Manager")</f>
        <v>Manager</v>
      </c>
      <c r="O22" s="141" t="str">
        <f>IFERROR(__xludf.DUMMYFUNCTION("""COMPUTED_VALUE"""),"Intermediate")</f>
        <v>Intermediate</v>
      </c>
      <c r="P22" s="143">
        <f>IFERROR(__xludf.DUMMYFUNCTION("""COMPUTED_VALUE"""),0.016840277777777777)</f>
        <v>0.01684027778</v>
      </c>
      <c r="Q22" s="151"/>
      <c r="R22" s="140"/>
      <c r="S22" s="140"/>
    </row>
    <row r="23" ht="33.75" customHeight="1">
      <c r="A23" s="140"/>
      <c r="B23" s="140"/>
      <c r="C23" s="147">
        <f>IFERROR(__xludf.DUMMYFUNCTION("""COMPUTED_VALUE"""),802842.0)</f>
        <v>802842</v>
      </c>
      <c r="D23" s="148" t="str">
        <f>IFERROR(__xludf.DUMMYFUNCTION("""COMPUTED_VALUE"""),"Coaching and Developing Employees")</f>
        <v>Coaching and Developing Employees</v>
      </c>
      <c r="E23" s="147" t="str">
        <f>IFERROR(__xludf.DUMMYFUNCTION("""COMPUTED_VALUE"""),"Manager")</f>
        <v>Manager</v>
      </c>
      <c r="F23" s="141" t="str">
        <f>IFERROR(__xludf.DUMMYFUNCTION("""COMPUTED_VALUE"""),"Beginner + Intermediate")</f>
        <v>Beginner + Intermediate</v>
      </c>
      <c r="G23" s="143">
        <f>IFERROR(__xludf.DUMMYFUNCTION("""COMPUTED_VALUE"""),0.03754629629629629)</f>
        <v>0.0375462963</v>
      </c>
      <c r="H23" s="151"/>
      <c r="I23" s="140"/>
      <c r="J23" s="140"/>
      <c r="K23" s="140"/>
      <c r="L23" s="147">
        <f>IFERROR(__xludf.DUMMYFUNCTION("""COMPUTED_VALUE"""),2883003.0)</f>
        <v>2883003</v>
      </c>
      <c r="M23" s="148" t="str">
        <f>IFERROR(__xludf.DUMMYFUNCTION("""COMPUTED_VALUE"""),"Building Connection and Engagement in Virtual Teams")</f>
        <v>Building Connection and Engagement in Virtual Teams</v>
      </c>
      <c r="N23" s="147" t="str">
        <f>IFERROR(__xludf.DUMMYFUNCTION("""COMPUTED_VALUE"""),"Manager")</f>
        <v>Manager</v>
      </c>
      <c r="O23" s="141" t="str">
        <f>IFERROR(__xludf.DUMMYFUNCTION("""COMPUTED_VALUE"""),"Intermediate")</f>
        <v>Intermediate</v>
      </c>
      <c r="P23" s="143">
        <f>IFERROR(__xludf.DUMMYFUNCTION("""COMPUTED_VALUE"""),0.02861111111111111)</f>
        <v>0.02861111111</v>
      </c>
      <c r="Q23" s="151"/>
      <c r="R23" s="140"/>
      <c r="S23" s="140"/>
    </row>
    <row r="24" ht="33.75" customHeight="1">
      <c r="A24" s="140"/>
      <c r="B24" s="140"/>
      <c r="C24" s="147">
        <f>IFERROR(__xludf.DUMMYFUNCTION("""COMPUTED_VALUE"""),5028615.0)</f>
        <v>5028615</v>
      </c>
      <c r="D24" s="148" t="str">
        <f>IFERROR(__xludf.DUMMYFUNCTION("""COMPUTED_VALUE"""),"Managing Virtual Teams")</f>
        <v>Managing Virtual Teams</v>
      </c>
      <c r="E24" s="147" t="str">
        <f>IFERROR(__xludf.DUMMYFUNCTION("""COMPUTED_VALUE"""),"Manager")</f>
        <v>Manager</v>
      </c>
      <c r="F24" s="141" t="str">
        <f>IFERROR(__xludf.DUMMYFUNCTION("""COMPUTED_VALUE"""),"Beginner + Intermediate")</f>
        <v>Beginner + Intermediate</v>
      </c>
      <c r="G24" s="143">
        <f>IFERROR(__xludf.DUMMYFUNCTION("""COMPUTED_VALUE"""),0.039050925925925926)</f>
        <v>0.03905092593</v>
      </c>
      <c r="H24" s="151"/>
      <c r="I24" s="140"/>
      <c r="J24" s="140"/>
      <c r="K24" s="140"/>
      <c r="L24" s="147">
        <f>IFERROR(__xludf.DUMMYFUNCTION("""COMPUTED_VALUE"""),2878235.0)</f>
        <v>2878235</v>
      </c>
      <c r="M24" s="148" t="str">
        <f>IFERROR(__xludf.DUMMYFUNCTION("""COMPUTED_VALUE"""),"Level Up Your Remote Team Experience")</f>
        <v>Level Up Your Remote Team Experience</v>
      </c>
      <c r="N24" s="147" t="str">
        <f>IFERROR(__xludf.DUMMYFUNCTION("""COMPUTED_VALUE"""),"Individual Contributor")</f>
        <v>Individual Contributor</v>
      </c>
      <c r="O24" s="141" t="str">
        <f>IFERROR(__xludf.DUMMYFUNCTION("""COMPUTED_VALUE"""),"Advanced")</f>
        <v>Advanced</v>
      </c>
      <c r="P24" s="143">
        <f>IFERROR(__xludf.DUMMYFUNCTION("""COMPUTED_VALUE"""),0.025868055555555554)</f>
        <v>0.02586805556</v>
      </c>
      <c r="Q24" s="151"/>
      <c r="R24" s="140"/>
      <c r="S24" s="140"/>
    </row>
    <row r="25" ht="33.75" customHeight="1">
      <c r="A25" s="140"/>
      <c r="B25" s="140"/>
      <c r="C25" s="147">
        <f>IFERROR(__xludf.DUMMYFUNCTION("""COMPUTED_VALUE"""),688508.0)</f>
        <v>688508</v>
      </c>
      <c r="D25" s="148" t="str">
        <f>IFERROR(__xludf.DUMMYFUNCTION("""COMPUTED_VALUE"""),"Motivating and Engaging Employees")</f>
        <v>Motivating and Engaging Employees</v>
      </c>
      <c r="E25" s="147" t="str">
        <f>IFERROR(__xludf.DUMMYFUNCTION("""COMPUTED_VALUE"""),"Manager")</f>
        <v>Manager</v>
      </c>
      <c r="F25" s="141" t="str">
        <f>IFERROR(__xludf.DUMMYFUNCTION("""COMPUTED_VALUE"""),"Beginner + Intermediate")</f>
        <v>Beginner + Intermediate</v>
      </c>
      <c r="G25" s="143">
        <f>IFERROR(__xludf.DUMMYFUNCTION("""COMPUTED_VALUE"""),0.032337962962962964)</f>
        <v>0.03233796296</v>
      </c>
      <c r="H25" s="151"/>
      <c r="I25" s="140"/>
      <c r="J25" s="140"/>
      <c r="K25" s="140"/>
      <c r="L25" s="147">
        <f>IFERROR(__xludf.DUMMYFUNCTION("""COMPUTED_VALUE"""),2848322.0)</f>
        <v>2848322</v>
      </c>
      <c r="M25" s="148" t="str">
        <f>IFERROR(__xludf.DUMMYFUNCTION("""COMPUTED_VALUE"""),"How to Develop Friendships and Connect Meaningfully with Work Colleagues")</f>
        <v>How to Develop Friendships and Connect Meaningfully with Work Colleagues</v>
      </c>
      <c r="N25" s="147" t="str">
        <f>IFERROR(__xludf.DUMMYFUNCTION("""COMPUTED_VALUE"""),"Individual Contributor")</f>
        <v>Individual Contributor</v>
      </c>
      <c r="O25" s="141" t="str">
        <f>IFERROR(__xludf.DUMMYFUNCTION("""COMPUTED_VALUE"""),"General")</f>
        <v>General</v>
      </c>
      <c r="P25" s="143">
        <f>IFERROR(__xludf.DUMMYFUNCTION("""COMPUTED_VALUE"""),0.04079861111111111)</f>
        <v>0.04079861111</v>
      </c>
      <c r="Q25" s="151"/>
      <c r="R25" s="140"/>
      <c r="S25" s="140"/>
    </row>
    <row r="26" ht="33.75" customHeight="1">
      <c r="A26" s="140"/>
      <c r="B26" s="140"/>
      <c r="C26" s="147">
        <f>IFERROR(__xludf.DUMMYFUNCTION("""COMPUTED_VALUE"""),784280.0)</f>
        <v>784280</v>
      </c>
      <c r="D26" s="148" t="str">
        <f>IFERROR(__xludf.DUMMYFUNCTION("""COMPUTED_VALUE"""),"Leading Inclusive Teams")</f>
        <v>Leading Inclusive Teams</v>
      </c>
      <c r="E26" s="147" t="str">
        <f>IFERROR(__xludf.DUMMYFUNCTION("""COMPUTED_VALUE"""),"Manager")</f>
        <v>Manager</v>
      </c>
      <c r="F26" s="141" t="str">
        <f>IFERROR(__xludf.DUMMYFUNCTION("""COMPUTED_VALUE"""),"General")</f>
        <v>General</v>
      </c>
      <c r="G26" s="143">
        <f>IFERROR(__xludf.DUMMYFUNCTION("""COMPUTED_VALUE"""),0.04173611111111111)</f>
        <v>0.04173611111</v>
      </c>
      <c r="H26" s="151"/>
      <c r="I26" s="140"/>
      <c r="J26" s="140"/>
      <c r="K26" s="140"/>
      <c r="L26" s="147">
        <f>IFERROR(__xludf.DUMMYFUNCTION("""COMPUTED_VALUE"""),2886117.0)</f>
        <v>2886117</v>
      </c>
      <c r="M26" s="148" t="str">
        <f>IFERROR(__xludf.DUMMYFUNCTION("""COMPUTED_VALUE"""),"A Guide to ERGs (Employee Resource Groups)")</f>
        <v>A Guide to ERGs (Employee Resource Groups)</v>
      </c>
      <c r="N26" s="147" t="str">
        <f>IFERROR(__xludf.DUMMYFUNCTION("""COMPUTED_VALUE"""),"Individual Contributor")</f>
        <v>Individual Contributor</v>
      </c>
      <c r="O26" s="141" t="str">
        <f>IFERROR(__xludf.DUMMYFUNCTION("""COMPUTED_VALUE"""),"General")</f>
        <v>General</v>
      </c>
      <c r="P26" s="143">
        <f>IFERROR(__xludf.DUMMYFUNCTION("""COMPUTED_VALUE"""),0.030578703703703705)</f>
        <v>0.0305787037</v>
      </c>
      <c r="Q26" s="151"/>
      <c r="R26" s="140"/>
      <c r="S26" s="140"/>
    </row>
    <row r="27" ht="33.75" customHeight="1">
      <c r="A27" s="140"/>
      <c r="B27" s="140"/>
      <c r="C27" s="147">
        <f>IFERROR(__xludf.DUMMYFUNCTION("""COMPUTED_VALUE"""),2877028.0)</f>
        <v>2877028</v>
      </c>
      <c r="D27" s="148" t="str">
        <f>IFERROR(__xludf.DUMMYFUNCTION("""COMPUTED_VALUE"""),"Becoming a Manager Your Team Loves")</f>
        <v>Becoming a Manager Your Team Loves</v>
      </c>
      <c r="E27" s="147" t="str">
        <f>IFERROR(__xludf.DUMMYFUNCTION("""COMPUTED_VALUE"""),"Manager")</f>
        <v>Manager</v>
      </c>
      <c r="F27" s="141" t="str">
        <f>IFERROR(__xludf.DUMMYFUNCTION("""COMPUTED_VALUE"""),"General")</f>
        <v>General</v>
      </c>
      <c r="G27" s="143">
        <f>IFERROR(__xludf.DUMMYFUNCTION("""COMPUTED_VALUE"""),0.052708333333333336)</f>
        <v>0.05270833333</v>
      </c>
      <c r="H27" s="151"/>
      <c r="I27" s="140"/>
      <c r="J27" s="140"/>
      <c r="K27" s="140"/>
      <c r="L27" s="147">
        <f>IFERROR(__xludf.DUMMYFUNCTION("""COMPUTED_VALUE"""),2890004.0)</f>
        <v>2890004</v>
      </c>
      <c r="M27" s="148" t="str">
        <f>IFERROR(__xludf.DUMMYFUNCTION("""COMPUTED_VALUE"""),"Building a Trustworthy Reputation")</f>
        <v>Building a Trustworthy Reputation</v>
      </c>
      <c r="N27" s="147" t="str">
        <f>IFERROR(__xludf.DUMMYFUNCTION("""COMPUTED_VALUE"""),"Individual Contributor")</f>
        <v>Individual Contributor</v>
      </c>
      <c r="O27" s="141" t="str">
        <f>IFERROR(__xludf.DUMMYFUNCTION("""COMPUTED_VALUE"""),"General")</f>
        <v>General</v>
      </c>
      <c r="P27" s="143">
        <f>IFERROR(__xludf.DUMMYFUNCTION("""COMPUTED_VALUE"""),0.03364583333333333)</f>
        <v>0.03364583333</v>
      </c>
      <c r="Q27" s="151"/>
      <c r="R27" s="140"/>
      <c r="S27" s="140"/>
    </row>
    <row r="28" ht="33.75" customHeight="1">
      <c r="A28" s="140"/>
      <c r="B28" s="140"/>
      <c r="C28" s="147">
        <f>IFERROR(__xludf.DUMMYFUNCTION("""COMPUTED_VALUE"""),167028.0)</f>
        <v>167028</v>
      </c>
      <c r="D28" s="148" t="str">
        <f>IFERROR(__xludf.DUMMYFUNCTION("""COMPUTED_VALUE"""),"Building High-Performance Teams")</f>
        <v>Building High-Performance Teams</v>
      </c>
      <c r="E28" s="147" t="str">
        <f>IFERROR(__xludf.DUMMYFUNCTION("""COMPUTED_VALUE"""),"Manager")</f>
        <v>Manager</v>
      </c>
      <c r="F28" s="141" t="str">
        <f>IFERROR(__xludf.DUMMYFUNCTION("""COMPUTED_VALUE"""),"Intermediate")</f>
        <v>Intermediate</v>
      </c>
      <c r="G28" s="143">
        <f>IFERROR(__xludf.DUMMYFUNCTION("""COMPUTED_VALUE"""),0.07655092592592593)</f>
        <v>0.07655092593</v>
      </c>
      <c r="H28" s="151"/>
      <c r="I28" s="140"/>
      <c r="J28" s="140"/>
      <c r="K28" s="140"/>
      <c r="L28" s="147">
        <f>IFERROR(__xludf.DUMMYFUNCTION("""COMPUTED_VALUE"""),2423851.0)</f>
        <v>2423851</v>
      </c>
      <c r="M28" s="148" t="str">
        <f>IFERROR(__xludf.DUMMYFUNCTION("""COMPUTED_VALUE"""),"Collaborative Workflows for Editors and Designers")</f>
        <v>Collaborative Workflows for Editors and Designers</v>
      </c>
      <c r="N28" s="147" t="str">
        <f>IFERROR(__xludf.DUMMYFUNCTION("""COMPUTED_VALUE"""),"Individual Contributor")</f>
        <v>Individual Contributor</v>
      </c>
      <c r="O28" s="141" t="str">
        <f>IFERROR(__xludf.DUMMYFUNCTION("""COMPUTED_VALUE"""),"Intermediate")</f>
        <v>Intermediate</v>
      </c>
      <c r="P28" s="143">
        <f>IFERROR(__xludf.DUMMYFUNCTION("""COMPUTED_VALUE"""),0.14596064814814816)</f>
        <v>0.1459606481</v>
      </c>
      <c r="Q28" s="151"/>
      <c r="R28" s="140"/>
      <c r="S28" s="140"/>
    </row>
    <row r="29" ht="33.75" customHeight="1">
      <c r="A29" s="140"/>
      <c r="B29" s="140"/>
      <c r="C29" s="147">
        <f>IFERROR(__xludf.DUMMYFUNCTION("""COMPUTED_VALUE"""),737756.0)</f>
        <v>737756</v>
      </c>
      <c r="D29" s="148" t="str">
        <f>IFERROR(__xludf.DUMMYFUNCTION("""COMPUTED_VALUE"""),"Developing Your Team Members")</f>
        <v>Developing Your Team Members</v>
      </c>
      <c r="E29" s="147" t="str">
        <f>IFERROR(__xludf.DUMMYFUNCTION("""COMPUTED_VALUE"""),"Manager")</f>
        <v>Manager</v>
      </c>
      <c r="F29" s="141" t="str">
        <f>IFERROR(__xludf.DUMMYFUNCTION("""COMPUTED_VALUE"""),"Intermediate")</f>
        <v>Intermediate</v>
      </c>
      <c r="G29" s="143">
        <f>IFERROR(__xludf.DUMMYFUNCTION("""COMPUTED_VALUE"""),0.03671296296296296)</f>
        <v>0.03671296296</v>
      </c>
      <c r="H29" s="151"/>
      <c r="I29" s="140"/>
      <c r="J29" s="140"/>
      <c r="K29" s="140"/>
      <c r="L29" s="147">
        <f>IFERROR(__xludf.DUMMYFUNCTION("""COMPUTED_VALUE"""),5040389.0)</f>
        <v>5040389</v>
      </c>
      <c r="M29" s="148" t="str">
        <f>IFERROR(__xludf.DUMMYFUNCTION("""COMPUTED_VALUE"""),"Cross-Functional Sales Teams")</f>
        <v>Cross-Functional Sales Teams</v>
      </c>
      <c r="N29" s="147" t="str">
        <f>IFERROR(__xludf.DUMMYFUNCTION("""COMPUTED_VALUE"""),"General")</f>
        <v>General</v>
      </c>
      <c r="O29" s="141" t="str">
        <f>IFERROR(__xludf.DUMMYFUNCTION("""COMPUTED_VALUE"""),"Advanced")</f>
        <v>Advanced</v>
      </c>
      <c r="P29" s="143">
        <f>IFERROR(__xludf.DUMMYFUNCTION("""COMPUTED_VALUE"""),0.03446759259259259)</f>
        <v>0.03446759259</v>
      </c>
      <c r="Q29" s="151"/>
      <c r="R29" s="140"/>
      <c r="S29" s="140"/>
    </row>
    <row r="30" ht="33.75" customHeight="1">
      <c r="A30" s="140"/>
      <c r="B30" s="140"/>
      <c r="C30" s="147">
        <f>IFERROR(__xludf.DUMMYFUNCTION("""COMPUTED_VALUE"""),656781.0)</f>
        <v>656781</v>
      </c>
      <c r="D30" s="148" t="str">
        <f>IFERROR(__xludf.DUMMYFUNCTION("""COMPUTED_VALUE"""),"Facilitation Skills for Managers and Leaders")</f>
        <v>Facilitation Skills for Managers and Leaders</v>
      </c>
      <c r="E30" s="147" t="str">
        <f>IFERROR(__xludf.DUMMYFUNCTION("""COMPUTED_VALUE"""),"Manager")</f>
        <v>Manager</v>
      </c>
      <c r="F30" s="141" t="str">
        <f>IFERROR(__xludf.DUMMYFUNCTION("""COMPUTED_VALUE"""),"Intermediate")</f>
        <v>Intermediate</v>
      </c>
      <c r="G30" s="143">
        <f>IFERROR(__xludf.DUMMYFUNCTION("""COMPUTED_VALUE"""),0.03)</f>
        <v>0.03</v>
      </c>
      <c r="H30" s="151"/>
      <c r="I30" s="140"/>
      <c r="J30" s="140"/>
      <c r="K30" s="140"/>
      <c r="L30" s="147">
        <f>IFERROR(__xludf.DUMMYFUNCTION("""COMPUTED_VALUE"""),2877032.0)</f>
        <v>2877032</v>
      </c>
      <c r="M30" s="148" t="str">
        <f>IFERROR(__xludf.DUMMYFUNCTION("""COMPUTED_VALUE"""),"How to Build Rapport Quickly")</f>
        <v>How to Build Rapport Quickly</v>
      </c>
      <c r="N30" s="147" t="str">
        <f>IFERROR(__xludf.DUMMYFUNCTION("""COMPUTED_VALUE"""),"General")</f>
        <v>General</v>
      </c>
      <c r="O30" s="141" t="str">
        <f>IFERROR(__xludf.DUMMYFUNCTION("""COMPUTED_VALUE"""),"Beginner")</f>
        <v>Beginner</v>
      </c>
      <c r="P30" s="143">
        <f>IFERROR(__xludf.DUMMYFUNCTION("""COMPUTED_VALUE"""),0.01204861111111111)</f>
        <v>0.01204861111</v>
      </c>
      <c r="Q30" s="151"/>
      <c r="R30" s="140"/>
      <c r="S30" s="140"/>
    </row>
    <row r="31" ht="33.75" customHeight="1">
      <c r="A31" s="140"/>
      <c r="B31" s="140"/>
      <c r="C31" s="147">
        <f>IFERROR(__xludf.DUMMYFUNCTION("""COMPUTED_VALUE"""),175129.0)</f>
        <v>175129</v>
      </c>
      <c r="D31" s="148" t="str">
        <f>IFERROR(__xludf.DUMMYFUNCTION("""COMPUTED_VALUE"""),"Leading and Working in Teams")</f>
        <v>Leading and Working in Teams</v>
      </c>
      <c r="E31" s="147" t="str">
        <f>IFERROR(__xludf.DUMMYFUNCTION("""COMPUTED_VALUE"""),"Manager")</f>
        <v>Manager</v>
      </c>
      <c r="F31" s="141" t="str">
        <f>IFERROR(__xludf.DUMMYFUNCTION("""COMPUTED_VALUE"""),"Intermediate")</f>
        <v>Intermediate</v>
      </c>
      <c r="G31" s="143">
        <f>IFERROR(__xludf.DUMMYFUNCTION("""COMPUTED_VALUE"""),0.017361111111111112)</f>
        <v>0.01736111111</v>
      </c>
      <c r="H31" s="151"/>
      <c r="I31" s="140"/>
      <c r="J31" s="140"/>
      <c r="K31" s="140"/>
      <c r="L31" s="147">
        <f>IFERROR(__xludf.DUMMYFUNCTION("""COMPUTED_VALUE"""),2870083.0)</f>
        <v>2870083</v>
      </c>
      <c r="M31" s="148" t="str">
        <f>IFERROR(__xludf.DUMMYFUNCTION("""COMPUTED_VALUE"""),"Become a Super-Collaborator")</f>
        <v>Become a Super-Collaborator</v>
      </c>
      <c r="N31" s="147" t="str">
        <f>IFERROR(__xludf.DUMMYFUNCTION("""COMPUTED_VALUE"""),"General")</f>
        <v>General</v>
      </c>
      <c r="O31" s="141" t="str">
        <f>IFERROR(__xludf.DUMMYFUNCTION("""COMPUTED_VALUE"""),"Beginner")</f>
        <v>Beginner</v>
      </c>
      <c r="P31" s="143">
        <f>IFERROR(__xludf.DUMMYFUNCTION("""COMPUTED_VALUE"""),0.024328703703703703)</f>
        <v>0.0243287037</v>
      </c>
      <c r="Q31" s="151"/>
      <c r="R31" s="140"/>
      <c r="S31" s="140"/>
    </row>
    <row r="32" ht="33.75" customHeight="1">
      <c r="A32" s="140"/>
      <c r="B32" s="140"/>
      <c r="C32" s="147">
        <f>IFERROR(__xludf.DUMMYFUNCTION("""COMPUTED_VALUE"""),659267.0)</f>
        <v>659267</v>
      </c>
      <c r="D32" s="148" t="str">
        <f>IFERROR(__xludf.DUMMYFUNCTION("""COMPUTED_VALUE"""),"Managing a Cross-Functional Team")</f>
        <v>Managing a Cross-Functional Team</v>
      </c>
      <c r="E32" s="147" t="str">
        <f>IFERROR(__xludf.DUMMYFUNCTION("""COMPUTED_VALUE"""),"Manager")</f>
        <v>Manager</v>
      </c>
      <c r="F32" s="141" t="str">
        <f>IFERROR(__xludf.DUMMYFUNCTION("""COMPUTED_VALUE"""),"Intermediate")</f>
        <v>Intermediate</v>
      </c>
      <c r="G32" s="143">
        <f>IFERROR(__xludf.DUMMYFUNCTION("""COMPUTED_VALUE"""),0.047962962962962964)</f>
        <v>0.04796296296</v>
      </c>
      <c r="H32" s="151"/>
      <c r="I32" s="140"/>
      <c r="J32" s="140"/>
      <c r="K32" s="140"/>
      <c r="L32" s="147">
        <f>IFERROR(__xludf.DUMMYFUNCTION("""COMPUTED_VALUE"""),758614.0)</f>
        <v>758614</v>
      </c>
      <c r="M32" s="148" t="str">
        <f>IFERROR(__xludf.DUMMYFUNCTION("""COMPUTED_VALUE"""),"Collaboration Principles and Process")</f>
        <v>Collaboration Principles and Process</v>
      </c>
      <c r="N32" s="147" t="str">
        <f>IFERROR(__xludf.DUMMYFUNCTION("""COMPUTED_VALUE"""),"General")</f>
        <v>General</v>
      </c>
      <c r="O32" s="141" t="str">
        <f>IFERROR(__xludf.DUMMYFUNCTION("""COMPUTED_VALUE"""),"Beginner")</f>
        <v>Beginner</v>
      </c>
      <c r="P32" s="143">
        <f>IFERROR(__xludf.DUMMYFUNCTION("""COMPUTED_VALUE"""),0.04092592592592593)</f>
        <v>0.04092592593</v>
      </c>
      <c r="Q32" s="151"/>
      <c r="R32" s="140"/>
      <c r="S32" s="140"/>
    </row>
    <row r="33" ht="33.75" customHeight="1">
      <c r="A33" s="140"/>
      <c r="B33" s="140"/>
      <c r="C33" s="147">
        <f>IFERROR(__xludf.DUMMYFUNCTION("""COMPUTED_VALUE"""),656779.0)</f>
        <v>656779</v>
      </c>
      <c r="D33" s="148" t="str">
        <f>IFERROR(__xludf.DUMMYFUNCTION("""COMPUTED_VALUE"""),"Managing a Diverse Team")</f>
        <v>Managing a Diverse Team</v>
      </c>
      <c r="E33" s="147" t="str">
        <f>IFERROR(__xludf.DUMMYFUNCTION("""COMPUTED_VALUE"""),"Manager")</f>
        <v>Manager</v>
      </c>
      <c r="F33" s="141" t="str">
        <f>IFERROR(__xludf.DUMMYFUNCTION("""COMPUTED_VALUE"""),"Intermediate")</f>
        <v>Intermediate</v>
      </c>
      <c r="G33" s="143">
        <f>IFERROR(__xludf.DUMMYFUNCTION("""COMPUTED_VALUE"""),0.056157407407407406)</f>
        <v>0.05615740741</v>
      </c>
      <c r="H33" s="151"/>
      <c r="I33" s="140"/>
      <c r="J33" s="140"/>
      <c r="K33" s="140"/>
      <c r="L33" s="147">
        <f>IFERROR(__xludf.DUMMYFUNCTION("""COMPUTED_VALUE"""),534584.0)</f>
        <v>534584</v>
      </c>
      <c r="M33" s="148" t="str">
        <f>IFERROR(__xludf.DUMMYFUNCTION("""COMPUTED_VALUE"""),"Communicating with Empathy")</f>
        <v>Communicating with Empathy</v>
      </c>
      <c r="N33" s="147" t="str">
        <f>IFERROR(__xludf.DUMMYFUNCTION("""COMPUTED_VALUE"""),"General")</f>
        <v>General</v>
      </c>
      <c r="O33" s="141" t="str">
        <f>IFERROR(__xludf.DUMMYFUNCTION("""COMPUTED_VALUE"""),"Beginner")</f>
        <v>Beginner</v>
      </c>
      <c r="P33" s="143">
        <f>IFERROR(__xludf.DUMMYFUNCTION("""COMPUTED_VALUE"""),0.026087962962962962)</f>
        <v>0.02608796296</v>
      </c>
      <c r="Q33" s="151"/>
      <c r="R33" s="140"/>
      <c r="S33" s="140"/>
    </row>
    <row r="34" ht="33.75" customHeight="1">
      <c r="A34" s="140"/>
      <c r="B34" s="140"/>
      <c r="C34" s="147">
        <f>IFERROR(__xludf.DUMMYFUNCTION("""COMPUTED_VALUE"""),681075.0)</f>
        <v>681075</v>
      </c>
      <c r="D34" s="148" t="str">
        <f>IFERROR(__xludf.DUMMYFUNCTION("""COMPUTED_VALUE"""),"Managing Team Conflict")</f>
        <v>Managing Team Conflict</v>
      </c>
      <c r="E34" s="147" t="str">
        <f>IFERROR(__xludf.DUMMYFUNCTION("""COMPUTED_VALUE"""),"Manager")</f>
        <v>Manager</v>
      </c>
      <c r="F34" s="141" t="str">
        <f>IFERROR(__xludf.DUMMYFUNCTION("""COMPUTED_VALUE"""),"Intermediate")</f>
        <v>Intermediate</v>
      </c>
      <c r="G34" s="143">
        <f>IFERROR(__xludf.DUMMYFUNCTION("""COMPUTED_VALUE"""),0.049166666666666664)</f>
        <v>0.04916666667</v>
      </c>
      <c r="H34" s="151"/>
      <c r="I34" s="140"/>
      <c r="J34" s="140"/>
      <c r="K34" s="140"/>
      <c r="L34" s="147">
        <f>IFERROR(__xludf.DUMMYFUNCTION("""COMPUTED_VALUE"""),622054.0)</f>
        <v>622054</v>
      </c>
      <c r="M34" s="148" t="str">
        <f>IFERROR(__xludf.DUMMYFUNCTION("""COMPUTED_VALUE"""),"Developing Self-Awareness")</f>
        <v>Developing Self-Awareness</v>
      </c>
      <c r="N34" s="147" t="str">
        <f>IFERROR(__xludf.DUMMYFUNCTION("""COMPUTED_VALUE"""),"General")</f>
        <v>General</v>
      </c>
      <c r="O34" s="141" t="str">
        <f>IFERROR(__xludf.DUMMYFUNCTION("""COMPUTED_VALUE"""),"Beginner")</f>
        <v>Beginner</v>
      </c>
      <c r="P34" s="143">
        <f>IFERROR(__xludf.DUMMYFUNCTION("""COMPUTED_VALUE"""),0.04170138888888889)</f>
        <v>0.04170138889</v>
      </c>
      <c r="Q34" s="151"/>
      <c r="R34" s="140"/>
      <c r="S34" s="140"/>
    </row>
    <row r="35" ht="33.75" customHeight="1">
      <c r="A35" s="140"/>
      <c r="B35" s="140"/>
      <c r="C35" s="147">
        <f>IFERROR(__xludf.DUMMYFUNCTION("""COMPUTED_VALUE"""),656780.0)</f>
        <v>656780</v>
      </c>
      <c r="D35" s="148" t="str">
        <f>IFERROR(__xludf.DUMMYFUNCTION("""COMPUTED_VALUE"""),"Practicing Fairness as a Manager")</f>
        <v>Practicing Fairness as a Manager</v>
      </c>
      <c r="E35" s="147" t="str">
        <f>IFERROR(__xludf.DUMMYFUNCTION("""COMPUTED_VALUE"""),"Manager")</f>
        <v>Manager</v>
      </c>
      <c r="F35" s="141" t="str">
        <f>IFERROR(__xludf.DUMMYFUNCTION("""COMPUTED_VALUE"""),"Intermediate")</f>
        <v>Intermediate</v>
      </c>
      <c r="G35" s="143">
        <f>IFERROR(__xludf.DUMMYFUNCTION("""COMPUTED_VALUE"""),0.031041666666666665)</f>
        <v>0.03104166667</v>
      </c>
      <c r="H35" s="151"/>
      <c r="I35" s="140"/>
      <c r="J35" s="140"/>
      <c r="K35" s="140"/>
      <c r="L35" s="147">
        <f>IFERROR(__xludf.DUMMYFUNCTION("""COMPUTED_VALUE"""),570966.0)</f>
        <v>570966</v>
      </c>
      <c r="M35" s="148" t="str">
        <f>IFERROR(__xludf.DUMMYFUNCTION("""COMPUTED_VALUE"""),"Developing Your Emotional Intelligence")</f>
        <v>Developing Your Emotional Intelligence</v>
      </c>
      <c r="N35" s="147" t="str">
        <f>IFERROR(__xludf.DUMMYFUNCTION("""COMPUTED_VALUE"""),"General")</f>
        <v>General</v>
      </c>
      <c r="O35" s="141" t="str">
        <f>IFERROR(__xludf.DUMMYFUNCTION("""COMPUTED_VALUE"""),"Beginner")</f>
        <v>Beginner</v>
      </c>
      <c r="P35" s="143">
        <f>IFERROR(__xludf.DUMMYFUNCTION("""COMPUTED_VALUE"""),0.04170138888888889)</f>
        <v>0.04170138889</v>
      </c>
      <c r="Q35" s="151"/>
      <c r="R35" s="140"/>
      <c r="S35" s="140"/>
    </row>
    <row r="36" ht="33.75" customHeight="1">
      <c r="A36" s="140"/>
      <c r="B36" s="140"/>
      <c r="C36" s="147">
        <f>IFERROR(__xludf.DUMMYFUNCTION("""COMPUTED_VALUE"""),2228264.0)</f>
        <v>2228264</v>
      </c>
      <c r="D36" s="148" t="str">
        <f>IFERROR(__xludf.DUMMYFUNCTION("""COMPUTED_VALUE"""),"Having Career Conversations with Your Team")</f>
        <v>Having Career Conversations with Your Team</v>
      </c>
      <c r="E36" s="147" t="str">
        <f>IFERROR(__xludf.DUMMYFUNCTION("""COMPUTED_VALUE"""),"Manager")</f>
        <v>Manager</v>
      </c>
      <c r="F36" s="141" t="str">
        <f>IFERROR(__xludf.DUMMYFUNCTION("""COMPUTED_VALUE"""),"Intermediate")</f>
        <v>Intermediate</v>
      </c>
      <c r="G36" s="143">
        <f>IFERROR(__xludf.DUMMYFUNCTION("""COMPUTED_VALUE"""),0.04111111111111111)</f>
        <v>0.04111111111</v>
      </c>
      <c r="H36" s="151"/>
      <c r="I36" s="140"/>
      <c r="J36" s="140"/>
      <c r="K36" s="140"/>
      <c r="L36" s="147">
        <f>IFERROR(__xludf.DUMMYFUNCTION("""COMPUTED_VALUE"""),580627.0)</f>
        <v>580627</v>
      </c>
      <c r="M36" s="148" t="str">
        <f>IFERROR(__xludf.DUMMYFUNCTION("""COMPUTED_VALUE"""),"Interpersonal Communication")</f>
        <v>Interpersonal Communication</v>
      </c>
      <c r="N36" s="147" t="str">
        <f>IFERROR(__xludf.DUMMYFUNCTION("""COMPUTED_VALUE"""),"General")</f>
        <v>General</v>
      </c>
      <c r="O36" s="141" t="str">
        <f>IFERROR(__xludf.DUMMYFUNCTION("""COMPUTED_VALUE"""),"Beginner")</f>
        <v>Beginner</v>
      </c>
      <c r="P36" s="143">
        <f>IFERROR(__xludf.DUMMYFUNCTION("""COMPUTED_VALUE"""),0.025706018518518517)</f>
        <v>0.02570601852</v>
      </c>
      <c r="Q36" s="151"/>
      <c r="R36" s="140"/>
      <c r="S36" s="140"/>
    </row>
    <row r="37" ht="33.75" customHeight="1">
      <c r="A37" s="140"/>
      <c r="B37" s="140"/>
      <c r="C37" s="147">
        <f>IFERROR(__xludf.DUMMYFUNCTION("""COMPUTED_VALUE"""),2822159.0)</f>
        <v>2822159</v>
      </c>
      <c r="D37" s="148" t="str">
        <f>IFERROR(__xludf.DUMMYFUNCTION("""COMPUTED_VALUE"""),"Managing for Better Ideas")</f>
        <v>Managing for Better Ideas</v>
      </c>
      <c r="E37" s="147" t="str">
        <f>IFERROR(__xludf.DUMMYFUNCTION("""COMPUTED_VALUE"""),"Manager")</f>
        <v>Manager</v>
      </c>
      <c r="F37" s="141" t="str">
        <f>IFERROR(__xludf.DUMMYFUNCTION("""COMPUTED_VALUE"""),"Intermediate")</f>
        <v>Intermediate</v>
      </c>
      <c r="G37" s="143">
        <f>IFERROR(__xludf.DUMMYFUNCTION("""COMPUTED_VALUE"""),0.01837962962962963)</f>
        <v>0.01837962963</v>
      </c>
      <c r="H37" s="151"/>
      <c r="I37" s="140"/>
      <c r="J37" s="140"/>
      <c r="K37" s="140"/>
      <c r="L37" s="147">
        <f>IFERROR(__xludf.DUMMYFUNCTION("""COMPUTED_VALUE"""),624206.0)</f>
        <v>624206</v>
      </c>
      <c r="M37" s="148" t="str">
        <f>IFERROR(__xludf.DUMMYFUNCTION("""COMPUTED_VALUE"""),"Working on a Cross-Functional Team")</f>
        <v>Working on a Cross-Functional Team</v>
      </c>
      <c r="N37" s="147" t="str">
        <f>IFERROR(__xludf.DUMMYFUNCTION("""COMPUTED_VALUE"""),"General")</f>
        <v>General</v>
      </c>
      <c r="O37" s="141" t="str">
        <f>IFERROR(__xludf.DUMMYFUNCTION("""COMPUTED_VALUE"""),"Beginner")</f>
        <v>Beginner</v>
      </c>
      <c r="P37" s="143">
        <f>IFERROR(__xludf.DUMMYFUNCTION("""COMPUTED_VALUE"""),0.0447337962962963)</f>
        <v>0.0447337963</v>
      </c>
      <c r="Q37" s="151"/>
      <c r="R37" s="140"/>
      <c r="S37" s="140"/>
    </row>
    <row r="38" ht="33.75" customHeight="1">
      <c r="A38" s="140"/>
      <c r="B38" s="140"/>
      <c r="C38" s="147">
        <f>IFERROR(__xludf.DUMMYFUNCTION("""COMPUTED_VALUE"""),2820016.0)</f>
        <v>2820016</v>
      </c>
      <c r="D38" s="148" t="str">
        <f>IFERROR(__xludf.DUMMYFUNCTION("""COMPUTED_VALUE"""),"Succeeding as a First-Time Tech Manager")</f>
        <v>Succeeding as a First-Time Tech Manager</v>
      </c>
      <c r="E38" s="147" t="str">
        <f>IFERROR(__xludf.DUMMYFUNCTION("""COMPUTED_VALUE"""),"Manager")</f>
        <v>Manager</v>
      </c>
      <c r="F38" s="141" t="str">
        <f>IFERROR(__xludf.DUMMYFUNCTION("""COMPUTED_VALUE"""),"Intermediate")</f>
        <v>Intermediate</v>
      </c>
      <c r="G38" s="143">
        <f>IFERROR(__xludf.DUMMYFUNCTION("""COMPUTED_VALUE"""),0.030428240740740742)</f>
        <v>0.03042824074</v>
      </c>
      <c r="H38" s="151"/>
      <c r="I38" s="140"/>
      <c r="J38" s="140"/>
      <c r="K38" s="140"/>
      <c r="L38" s="147">
        <f>IFERROR(__xludf.DUMMYFUNCTION("""COMPUTED_VALUE"""),2808545.0)</f>
        <v>2808545</v>
      </c>
      <c r="M38" s="148" t="str">
        <f>IFERROR(__xludf.DUMMYFUNCTION("""COMPUTED_VALUE"""),"Women Transforming Tech: Networking")</f>
        <v>Women Transforming Tech: Networking</v>
      </c>
      <c r="N38" s="147" t="str">
        <f>IFERROR(__xludf.DUMMYFUNCTION("""COMPUTED_VALUE"""),"General")</f>
        <v>General</v>
      </c>
      <c r="O38" s="141" t="str">
        <f>IFERROR(__xludf.DUMMYFUNCTION("""COMPUTED_VALUE"""),"Beginner")</f>
        <v>Beginner</v>
      </c>
      <c r="P38" s="143">
        <f>IFERROR(__xludf.DUMMYFUNCTION("""COMPUTED_VALUE"""),0.013726851851851851)</f>
        <v>0.01372685185</v>
      </c>
      <c r="Q38" s="151"/>
      <c r="R38" s="140"/>
      <c r="S38" s="140"/>
    </row>
    <row r="39" ht="33.75" customHeight="1">
      <c r="A39" s="140"/>
      <c r="B39" s="140"/>
      <c r="C39" s="147">
        <f>IFERROR(__xludf.DUMMYFUNCTION("""COMPUTED_VALUE"""),2802466.0)</f>
        <v>2802466</v>
      </c>
      <c r="D39" s="148" t="str">
        <f>IFERROR(__xludf.DUMMYFUNCTION("""COMPUTED_VALUE"""),"Be a Better Manager by Motivating Your Team")</f>
        <v>Be a Better Manager by Motivating Your Team</v>
      </c>
      <c r="E39" s="147" t="str">
        <f>IFERROR(__xludf.DUMMYFUNCTION("""COMPUTED_VALUE"""),"Manager")</f>
        <v>Manager</v>
      </c>
      <c r="F39" s="141" t="str">
        <f>IFERROR(__xludf.DUMMYFUNCTION("""COMPUTED_VALUE"""),"Intermediate")</f>
        <v>Intermediate</v>
      </c>
      <c r="G39" s="143">
        <f>IFERROR(__xludf.DUMMYFUNCTION("""COMPUTED_VALUE"""),0.016840277777777777)</f>
        <v>0.01684027778</v>
      </c>
      <c r="H39" s="151"/>
      <c r="I39" s="140"/>
      <c r="J39" s="140"/>
      <c r="K39" s="140"/>
      <c r="L39" s="147">
        <f>IFERROR(__xludf.DUMMYFUNCTION("""COMPUTED_VALUE"""),2813144.0)</f>
        <v>2813144</v>
      </c>
      <c r="M39" s="148" t="str">
        <f>IFERROR(__xludf.DUMMYFUNCTION("""COMPUTED_VALUE"""),"Social Success at Work")</f>
        <v>Social Success at Work</v>
      </c>
      <c r="N39" s="147" t="str">
        <f>IFERROR(__xludf.DUMMYFUNCTION("""COMPUTED_VALUE"""),"General")</f>
        <v>General</v>
      </c>
      <c r="O39" s="141" t="str">
        <f>IFERROR(__xludf.DUMMYFUNCTION("""COMPUTED_VALUE"""),"Beginner")</f>
        <v>Beginner</v>
      </c>
      <c r="P39" s="143">
        <f>IFERROR(__xludf.DUMMYFUNCTION("""COMPUTED_VALUE"""),0.012881944444444444)</f>
        <v>0.01288194444</v>
      </c>
      <c r="Q39" s="151"/>
      <c r="R39" s="140"/>
      <c r="S39" s="140"/>
    </row>
    <row r="40" ht="33.75" customHeight="1">
      <c r="A40" s="140"/>
      <c r="B40" s="140"/>
      <c r="C40" s="147">
        <f>IFERROR(__xludf.DUMMYFUNCTION("""COMPUTED_VALUE"""),2829006.0)</f>
        <v>2829006</v>
      </c>
      <c r="D40" s="148" t="str">
        <f>IFERROR(__xludf.DUMMYFUNCTION("""COMPUTED_VALUE"""),"A Strengths-Based Approach to Managing Your Team")</f>
        <v>A Strengths-Based Approach to Managing Your Team</v>
      </c>
      <c r="E40" s="147" t="str">
        <f>IFERROR(__xludf.DUMMYFUNCTION("""COMPUTED_VALUE"""),"Manager")</f>
        <v>Manager</v>
      </c>
      <c r="F40" s="141" t="str">
        <f>IFERROR(__xludf.DUMMYFUNCTION("""COMPUTED_VALUE"""),"Intermediate")</f>
        <v>Intermediate</v>
      </c>
      <c r="G40" s="143">
        <f>IFERROR(__xludf.DUMMYFUNCTION("""COMPUTED_VALUE"""),0.03710648148148148)</f>
        <v>0.03710648148</v>
      </c>
      <c r="H40" s="151"/>
      <c r="I40" s="140"/>
      <c r="J40" s="140"/>
      <c r="K40" s="140"/>
      <c r="L40" s="147">
        <f>IFERROR(__xludf.DUMMYFUNCTION("""COMPUTED_VALUE"""),2822315.0)</f>
        <v>2822315</v>
      </c>
      <c r="M40" s="148" t="str">
        <f>IFERROR(__xludf.DUMMYFUNCTION("""COMPUTED_VALUE"""),"The Surprising Power of Seeing People as People")</f>
        <v>The Surprising Power of Seeing People as People</v>
      </c>
      <c r="N40" s="147" t="str">
        <f>IFERROR(__xludf.DUMMYFUNCTION("""COMPUTED_VALUE"""),"General")</f>
        <v>General</v>
      </c>
      <c r="O40" s="141" t="str">
        <f>IFERROR(__xludf.DUMMYFUNCTION("""COMPUTED_VALUE"""),"Beginner")</f>
        <v>Beginner</v>
      </c>
      <c r="P40" s="143">
        <f>IFERROR(__xludf.DUMMYFUNCTION("""COMPUTED_VALUE"""),0.01982638888888889)</f>
        <v>0.01982638889</v>
      </c>
      <c r="Q40" s="151"/>
      <c r="R40" s="140"/>
      <c r="S40" s="140"/>
    </row>
    <row r="41" ht="33.75" customHeight="1">
      <c r="A41" s="140"/>
      <c r="B41" s="140"/>
      <c r="C41" s="147">
        <f>IFERROR(__xludf.DUMMYFUNCTION("""COMPUTED_VALUE"""),2892005.0)</f>
        <v>2892005</v>
      </c>
      <c r="D41" s="148" t="str">
        <f>IFERROR(__xludf.DUMMYFUNCTION("""COMPUTED_VALUE"""),"Strategies for Effective Leadership Teams")</f>
        <v>Strategies for Effective Leadership Teams</v>
      </c>
      <c r="E41" s="147" t="str">
        <f>IFERROR(__xludf.DUMMYFUNCTION("""COMPUTED_VALUE"""),"Manager")</f>
        <v>Manager</v>
      </c>
      <c r="F41" s="141" t="str">
        <f>IFERROR(__xludf.DUMMYFUNCTION("""COMPUTED_VALUE"""),"Intermediate")</f>
        <v>Intermediate</v>
      </c>
      <c r="G41" s="143">
        <f>IFERROR(__xludf.DUMMYFUNCTION("""COMPUTED_VALUE"""),0.027870370370370372)</f>
        <v>0.02787037037</v>
      </c>
      <c r="H41" s="151"/>
      <c r="I41" s="140"/>
      <c r="J41" s="140"/>
      <c r="K41" s="140"/>
      <c r="L41" s="147">
        <f>IFERROR(__xludf.DUMMYFUNCTION("""COMPUTED_VALUE"""),2825494.0)</f>
        <v>2825494</v>
      </c>
      <c r="M41" s="148" t="str">
        <f>IFERROR(__xludf.DUMMYFUNCTION("""COMPUTED_VALUE"""),"Creating a Culture of Learning")</f>
        <v>Creating a Culture of Learning</v>
      </c>
      <c r="N41" s="147" t="str">
        <f>IFERROR(__xludf.DUMMYFUNCTION("""COMPUTED_VALUE"""),"General")</f>
        <v>General</v>
      </c>
      <c r="O41" s="141" t="str">
        <f>IFERROR(__xludf.DUMMYFUNCTION("""COMPUTED_VALUE"""),"Beginner")</f>
        <v>Beginner</v>
      </c>
      <c r="P41" s="143">
        <f>IFERROR(__xludf.DUMMYFUNCTION("""COMPUTED_VALUE"""),0.02619212962962963)</f>
        <v>0.02619212963</v>
      </c>
      <c r="Q41" s="151"/>
      <c r="R41" s="140"/>
      <c r="S41" s="140"/>
    </row>
    <row r="42" ht="33.75" customHeight="1">
      <c r="A42" s="140"/>
      <c r="B42" s="140"/>
      <c r="C42" s="147">
        <f>IFERROR(__xludf.DUMMYFUNCTION("""COMPUTED_VALUE"""),2833087.0)</f>
        <v>2833087</v>
      </c>
      <c r="D42" s="148" t="str">
        <f>IFERROR(__xludf.DUMMYFUNCTION("""COMPUTED_VALUE"""),"Making Hybrid Teams Work")</f>
        <v>Making Hybrid Teams Work</v>
      </c>
      <c r="E42" s="147" t="str">
        <f>IFERROR(__xludf.DUMMYFUNCTION("""COMPUTED_VALUE"""),"Manager")</f>
        <v>Manager</v>
      </c>
      <c r="F42" s="141" t="str">
        <f>IFERROR(__xludf.DUMMYFUNCTION("""COMPUTED_VALUE"""),"Intermediate")</f>
        <v>Intermediate</v>
      </c>
      <c r="G42" s="143">
        <f>IFERROR(__xludf.DUMMYFUNCTION("""COMPUTED_VALUE"""),0.04761574074074074)</f>
        <v>0.04761574074</v>
      </c>
      <c r="H42" s="151"/>
      <c r="I42" s="140"/>
      <c r="J42" s="140"/>
      <c r="K42" s="140"/>
      <c r="L42" s="147">
        <f>IFERROR(__xludf.DUMMYFUNCTION("""COMPUTED_VALUE"""),2823195.0)</f>
        <v>2823195</v>
      </c>
      <c r="M42" s="148" t="str">
        <f>IFERROR(__xludf.DUMMYFUNCTION("""COMPUTED_VALUE"""),"Teamwork Foundations")</f>
        <v>Teamwork Foundations</v>
      </c>
      <c r="N42" s="147" t="str">
        <f>IFERROR(__xludf.DUMMYFUNCTION("""COMPUTED_VALUE"""),"General")</f>
        <v>General</v>
      </c>
      <c r="O42" s="141" t="str">
        <f>IFERROR(__xludf.DUMMYFUNCTION("""COMPUTED_VALUE"""),"Beginner")</f>
        <v>Beginner</v>
      </c>
      <c r="P42" s="143">
        <f>IFERROR(__xludf.DUMMYFUNCTION("""COMPUTED_VALUE"""),0.05918981481481481)</f>
        <v>0.05918981481</v>
      </c>
      <c r="Q42" s="151"/>
      <c r="R42" s="140"/>
      <c r="S42" s="140"/>
    </row>
    <row r="43" ht="33.75" customHeight="1">
      <c r="A43" s="140"/>
      <c r="B43" s="140"/>
      <c r="C43" s="147">
        <f>IFERROR(__xludf.DUMMYFUNCTION("""COMPUTED_VALUE"""),2878235.0)</f>
        <v>2878235</v>
      </c>
      <c r="D43" s="148" t="str">
        <f>IFERROR(__xludf.DUMMYFUNCTION("""COMPUTED_VALUE"""),"Level Up Your Remote Team Experience")</f>
        <v>Level Up Your Remote Team Experience</v>
      </c>
      <c r="E43" s="147" t="str">
        <f>IFERROR(__xludf.DUMMYFUNCTION("""COMPUTED_VALUE"""),"Individual Contributor")</f>
        <v>Individual Contributor</v>
      </c>
      <c r="F43" s="141" t="str">
        <f>IFERROR(__xludf.DUMMYFUNCTION("""COMPUTED_VALUE"""),"Advanced")</f>
        <v>Advanced</v>
      </c>
      <c r="G43" s="143">
        <f>IFERROR(__xludf.DUMMYFUNCTION("""COMPUTED_VALUE"""),0.025868055555555554)</f>
        <v>0.02586805556</v>
      </c>
      <c r="H43" s="151"/>
      <c r="I43" s="140"/>
      <c r="J43" s="140"/>
      <c r="K43" s="140"/>
      <c r="L43" s="147">
        <f>IFERROR(__xludf.DUMMYFUNCTION("""COMPUTED_VALUE"""),2848272.0)</f>
        <v>2848272</v>
      </c>
      <c r="M43" s="148" t="str">
        <f>IFERROR(__xludf.DUMMYFUNCTION("""COMPUTED_VALUE"""),"Inclusive Mindset for Committed Allies")</f>
        <v>Inclusive Mindset for Committed Allies</v>
      </c>
      <c r="N43" s="147" t="str">
        <f>IFERROR(__xludf.DUMMYFUNCTION("""COMPUTED_VALUE"""),"General")</f>
        <v>General</v>
      </c>
      <c r="O43" s="141" t="str">
        <f>IFERROR(__xludf.DUMMYFUNCTION("""COMPUTED_VALUE"""),"Beginner")</f>
        <v>Beginner</v>
      </c>
      <c r="P43" s="143">
        <f>IFERROR(__xludf.DUMMYFUNCTION("""COMPUTED_VALUE"""),0.016435185185185185)</f>
        <v>0.01643518519</v>
      </c>
      <c r="Q43" s="151"/>
      <c r="R43" s="140"/>
      <c r="S43" s="140"/>
    </row>
    <row r="44" ht="33.75" customHeight="1">
      <c r="A44" s="140"/>
      <c r="B44" s="140"/>
      <c r="C44" s="147">
        <f>IFERROR(__xludf.DUMMYFUNCTION("""COMPUTED_VALUE"""),2974167.0)</f>
        <v>2974167</v>
      </c>
      <c r="D44" s="148" t="str">
        <f>IFERROR(__xludf.DUMMYFUNCTION("""COMPUTED_VALUE"""),"Work on Purpose")</f>
        <v>Work on Purpose</v>
      </c>
      <c r="E44" s="147" t="str">
        <f>IFERROR(__xludf.DUMMYFUNCTION("""COMPUTED_VALUE"""),"General")</f>
        <v>General</v>
      </c>
      <c r="F44" s="141" t="str">
        <f>IFERROR(__xludf.DUMMYFUNCTION("""COMPUTED_VALUE"""),"Beginner")</f>
        <v>Beginner</v>
      </c>
      <c r="G44" s="143">
        <f>IFERROR(__xludf.DUMMYFUNCTION("""COMPUTED_VALUE"""),0.035381944444444445)</f>
        <v>0.03538194444</v>
      </c>
      <c r="H44" s="151"/>
      <c r="I44" s="140"/>
      <c r="J44" s="140"/>
      <c r="K44" s="140"/>
      <c r="L44" s="147">
        <f>IFERROR(__xludf.DUMMYFUNCTION("""COMPUTED_VALUE"""),2848245.0)</f>
        <v>2848245</v>
      </c>
      <c r="M44" s="148" t="str">
        <f>IFERROR(__xludf.DUMMYFUNCTION("""COMPUTED_VALUE"""),"Leveraging Your Relationship Capital")</f>
        <v>Leveraging Your Relationship Capital</v>
      </c>
      <c r="N44" s="147" t="str">
        <f>IFERROR(__xludf.DUMMYFUNCTION("""COMPUTED_VALUE"""),"General")</f>
        <v>General</v>
      </c>
      <c r="O44" s="141" t="str">
        <f>IFERROR(__xludf.DUMMYFUNCTION("""COMPUTED_VALUE"""),"Beginner")</f>
        <v>Beginner</v>
      </c>
      <c r="P44" s="143">
        <f>IFERROR(__xludf.DUMMYFUNCTION("""COMPUTED_VALUE"""),0.022372685185185186)</f>
        <v>0.02237268519</v>
      </c>
      <c r="Q44" s="151"/>
      <c r="R44" s="140"/>
      <c r="S44" s="140"/>
    </row>
    <row r="45" ht="33.75" customHeight="1">
      <c r="A45" s="140"/>
      <c r="B45" s="140"/>
      <c r="C45" s="147">
        <f>IFERROR(__xludf.DUMMYFUNCTION("""COMPUTED_VALUE"""),2243047.0)</f>
        <v>2243047</v>
      </c>
      <c r="D45" s="148" t="str">
        <f>IFERROR(__xludf.DUMMYFUNCTION("""COMPUTED_VALUE"""),"Top of Mind: Use Content to Unleash Your Influence (getAbstract Summary)")</f>
        <v>Top of Mind: Use Content to Unleash Your Influence (getAbstract Summary)</v>
      </c>
      <c r="E45" s="147" t="str">
        <f>IFERROR(__xludf.DUMMYFUNCTION("""COMPUTED_VALUE"""),"General")</f>
        <v>General</v>
      </c>
      <c r="F45" s="141" t="str">
        <f>IFERROR(__xludf.DUMMYFUNCTION("""COMPUTED_VALUE"""),"Beginner")</f>
        <v>Beginner</v>
      </c>
      <c r="G45" s="143">
        <f>IFERROR(__xludf.DUMMYFUNCTION("""COMPUTED_VALUE"""),0.0059375)</f>
        <v>0.0059375</v>
      </c>
      <c r="H45" s="151"/>
      <c r="I45" s="140"/>
      <c r="J45" s="140"/>
      <c r="K45" s="140"/>
      <c r="L45" s="147">
        <f>IFERROR(__xludf.DUMMYFUNCTION("""COMPUTED_VALUE"""),2848243.0)</f>
        <v>2848243</v>
      </c>
      <c r="M45" s="148" t="str">
        <f>IFERROR(__xludf.DUMMYFUNCTION("""COMPUTED_VALUE"""),"The Ultimate Guide to Professional Networking")</f>
        <v>The Ultimate Guide to Professional Networking</v>
      </c>
      <c r="N45" s="147" t="str">
        <f>IFERROR(__xludf.DUMMYFUNCTION("""COMPUTED_VALUE"""),"General")</f>
        <v>General</v>
      </c>
      <c r="O45" s="141" t="str">
        <f>IFERROR(__xludf.DUMMYFUNCTION("""COMPUTED_VALUE"""),"Beginner")</f>
        <v>Beginner</v>
      </c>
      <c r="P45" s="143">
        <f>IFERROR(__xludf.DUMMYFUNCTION("""COMPUTED_VALUE"""),0.04662037037037037)</f>
        <v>0.04662037037</v>
      </c>
      <c r="Q45" s="151"/>
      <c r="R45" s="140"/>
      <c r="S45" s="140"/>
    </row>
    <row r="46" ht="33.75" customHeight="1">
      <c r="A46" s="140"/>
      <c r="B46" s="140"/>
      <c r="C46" s="147">
        <f>IFERROR(__xludf.DUMMYFUNCTION("""COMPUTED_VALUE"""),2813307.0)</f>
        <v>2813307</v>
      </c>
      <c r="D46" s="148" t="str">
        <f>IFERROR(__xludf.DUMMYFUNCTION("""COMPUTED_VALUE"""),"Motivating Your Team to Learn")</f>
        <v>Motivating Your Team to Learn</v>
      </c>
      <c r="E46" s="147" t="str">
        <f>IFERROR(__xludf.DUMMYFUNCTION("""COMPUTED_VALUE"""),"General")</f>
        <v>General</v>
      </c>
      <c r="F46" s="141" t="str">
        <f>IFERROR(__xludf.DUMMYFUNCTION("""COMPUTED_VALUE"""),"Beginner")</f>
        <v>Beginner</v>
      </c>
      <c r="G46" s="143">
        <f>IFERROR(__xludf.DUMMYFUNCTION("""COMPUTED_VALUE"""),0.015775462962962963)</f>
        <v>0.01577546296</v>
      </c>
      <c r="H46" s="151"/>
      <c r="I46" s="140"/>
      <c r="J46" s="140"/>
      <c r="K46" s="140"/>
      <c r="L46" s="147">
        <f>IFERROR(__xludf.DUMMYFUNCTION("""COMPUTED_VALUE"""),2849194.0)</f>
        <v>2849194</v>
      </c>
      <c r="M46" s="148" t="str">
        <f>IFERROR(__xludf.DUMMYFUNCTION("""COMPUTED_VALUE"""),"21 Opportunities for Better Networking")</f>
        <v>21 Opportunities for Better Networking</v>
      </c>
      <c r="N46" s="147" t="str">
        <f>IFERROR(__xludf.DUMMYFUNCTION("""COMPUTED_VALUE"""),"General")</f>
        <v>General</v>
      </c>
      <c r="O46" s="141" t="str">
        <f>IFERROR(__xludf.DUMMYFUNCTION("""COMPUTED_VALUE"""),"Beginner")</f>
        <v>Beginner</v>
      </c>
      <c r="P46" s="143">
        <f>IFERROR(__xludf.DUMMYFUNCTION("""COMPUTED_VALUE"""),0.01361111111111111)</f>
        <v>0.01361111111</v>
      </c>
      <c r="Q46" s="151"/>
      <c r="R46" s="140"/>
      <c r="S46" s="140"/>
    </row>
    <row r="47" ht="33.75" customHeight="1">
      <c r="A47" s="140"/>
      <c r="B47" s="140"/>
      <c r="C47" s="147">
        <f>IFERROR(__xludf.DUMMYFUNCTION("""COMPUTED_VALUE"""),2823255.0)</f>
        <v>2823255</v>
      </c>
      <c r="D47" s="148" t="str">
        <f>IFERROR(__xludf.DUMMYFUNCTION("""COMPUTED_VALUE"""),"The Six Morning Habits of High Performers")</f>
        <v>The Six Morning Habits of High Performers</v>
      </c>
      <c r="E47" s="147" t="str">
        <f>IFERROR(__xludf.DUMMYFUNCTION("""COMPUTED_VALUE"""),"General")</f>
        <v>General</v>
      </c>
      <c r="F47" s="141" t="str">
        <f>IFERROR(__xludf.DUMMYFUNCTION("""COMPUTED_VALUE"""),"Beginner")</f>
        <v>Beginner</v>
      </c>
      <c r="G47" s="143">
        <f>IFERROR(__xludf.DUMMYFUNCTION("""COMPUTED_VALUE"""),0.016446759259259258)</f>
        <v>0.01644675926</v>
      </c>
      <c r="H47" s="151"/>
      <c r="I47" s="140"/>
      <c r="J47" s="140"/>
      <c r="K47" s="140"/>
      <c r="L47" s="147">
        <f>IFERROR(__xludf.DUMMYFUNCTION("""COMPUTED_VALUE"""),2887217.0)</f>
        <v>2887217</v>
      </c>
      <c r="M47" s="148" t="str">
        <f>IFERROR(__xludf.DUMMYFUNCTION("""COMPUTED_VALUE"""),"Embracing Conflict as a Gift")</f>
        <v>Embracing Conflict as a Gift</v>
      </c>
      <c r="N47" s="147" t="str">
        <f>IFERROR(__xludf.DUMMYFUNCTION("""COMPUTED_VALUE"""),"General")</f>
        <v>General</v>
      </c>
      <c r="O47" s="141" t="str">
        <f>IFERROR(__xludf.DUMMYFUNCTION("""COMPUTED_VALUE"""),"Beginner")</f>
        <v>Beginner</v>
      </c>
      <c r="P47" s="143">
        <f>IFERROR(__xludf.DUMMYFUNCTION("""COMPUTED_VALUE"""),0.020185185185185184)</f>
        <v>0.02018518519</v>
      </c>
      <c r="Q47" s="151"/>
      <c r="R47" s="140"/>
      <c r="S47" s="140"/>
    </row>
    <row r="48" ht="33.75" customHeight="1">
      <c r="A48" s="140"/>
      <c r="B48" s="140"/>
      <c r="C48" s="147">
        <f>IFERROR(__xludf.DUMMYFUNCTION("""COMPUTED_VALUE"""),2823195.0)</f>
        <v>2823195</v>
      </c>
      <c r="D48" s="148" t="str">
        <f>IFERROR(__xludf.DUMMYFUNCTION("""COMPUTED_VALUE"""),"Teamwork Foundations")</f>
        <v>Teamwork Foundations</v>
      </c>
      <c r="E48" s="147" t="str">
        <f>IFERROR(__xludf.DUMMYFUNCTION("""COMPUTED_VALUE"""),"General")</f>
        <v>General</v>
      </c>
      <c r="F48" s="141" t="str">
        <f>IFERROR(__xludf.DUMMYFUNCTION("""COMPUTED_VALUE"""),"Beginner")</f>
        <v>Beginner</v>
      </c>
      <c r="G48" s="143">
        <f>IFERROR(__xludf.DUMMYFUNCTION("""COMPUTED_VALUE"""),0.05918981481481481)</f>
        <v>0.05918981481</v>
      </c>
      <c r="H48" s="151"/>
      <c r="I48" s="140"/>
      <c r="J48" s="140"/>
      <c r="K48" s="140"/>
      <c r="L48" s="147">
        <f>IFERROR(__xludf.DUMMYFUNCTION("""COMPUTED_VALUE"""),3152728.0)</f>
        <v>3152728</v>
      </c>
      <c r="M48" s="148" t="str">
        <f>IFERROR(__xludf.DUMMYFUNCTION("""COMPUTED_VALUE"""),"Mindful Team Building")</f>
        <v>Mindful Team Building</v>
      </c>
      <c r="N48" s="147" t="str">
        <f>IFERROR(__xludf.DUMMYFUNCTION("""COMPUTED_VALUE"""),"General")</f>
        <v>General</v>
      </c>
      <c r="O48" s="141" t="str">
        <f>IFERROR(__xludf.DUMMYFUNCTION("""COMPUTED_VALUE"""),"Beginner")</f>
        <v>Beginner</v>
      </c>
      <c r="P48" s="143">
        <f>IFERROR(__xludf.DUMMYFUNCTION("""COMPUTED_VALUE"""),0.02539351851851852)</f>
        <v>0.02539351852</v>
      </c>
      <c r="Q48" s="151"/>
      <c r="R48" s="140"/>
      <c r="S48" s="140"/>
    </row>
    <row r="49" ht="33.75" customHeight="1">
      <c r="A49" s="140"/>
      <c r="B49" s="140"/>
      <c r="C49" s="147">
        <f>IFERROR(__xludf.DUMMYFUNCTION("""COMPUTED_VALUE"""),2825494.0)</f>
        <v>2825494</v>
      </c>
      <c r="D49" s="148" t="str">
        <f>IFERROR(__xludf.DUMMYFUNCTION("""COMPUTED_VALUE"""),"Creating a Culture of Learning")</f>
        <v>Creating a Culture of Learning</v>
      </c>
      <c r="E49" s="147" t="str">
        <f>IFERROR(__xludf.DUMMYFUNCTION("""COMPUTED_VALUE"""),"General")</f>
        <v>General</v>
      </c>
      <c r="F49" s="141" t="str">
        <f>IFERROR(__xludf.DUMMYFUNCTION("""COMPUTED_VALUE"""),"Beginner")</f>
        <v>Beginner</v>
      </c>
      <c r="G49" s="143">
        <f>IFERROR(__xludf.DUMMYFUNCTION("""COMPUTED_VALUE"""),0.02619212962962963)</f>
        <v>0.02619212963</v>
      </c>
      <c r="H49" s="151"/>
      <c r="I49" s="140"/>
      <c r="J49" s="140"/>
      <c r="K49" s="140"/>
      <c r="L49" s="147">
        <f>IFERROR(__xludf.DUMMYFUNCTION("""COMPUTED_VALUE"""),2427504.0)</f>
        <v>2427504</v>
      </c>
      <c r="M49" s="148" t="str">
        <f>IFERROR(__xludf.DUMMYFUNCTION("""COMPUTED_VALUE"""),"The Value of Employee Resource Groups")</f>
        <v>The Value of Employee Resource Groups</v>
      </c>
      <c r="N49" s="147" t="str">
        <f>IFERROR(__xludf.DUMMYFUNCTION("""COMPUTED_VALUE"""),"General")</f>
        <v>General</v>
      </c>
      <c r="O49" s="141" t="str">
        <f>IFERROR(__xludf.DUMMYFUNCTION("""COMPUTED_VALUE"""),"Beginner")</f>
        <v>Beginner</v>
      </c>
      <c r="P49" s="143">
        <f>IFERROR(__xludf.DUMMYFUNCTION("""COMPUTED_VALUE"""),0.023391203703703702)</f>
        <v>0.0233912037</v>
      </c>
      <c r="Q49" s="151"/>
      <c r="R49" s="140"/>
      <c r="S49" s="140"/>
    </row>
    <row r="50" ht="33.75" customHeight="1">
      <c r="A50" s="140"/>
      <c r="B50" s="140"/>
      <c r="C50" s="147">
        <f>IFERROR(__xludf.DUMMYFUNCTION("""COMPUTED_VALUE"""),2846053.0)</f>
        <v>2846053</v>
      </c>
      <c r="D50" s="148" t="str">
        <f>IFERROR(__xludf.DUMMYFUNCTION("""COMPUTED_VALUE"""),"Leading Remote Projects and Virtual Teams")</f>
        <v>Leading Remote Projects and Virtual Teams</v>
      </c>
      <c r="E50" s="147" t="str">
        <f>IFERROR(__xludf.DUMMYFUNCTION("""COMPUTED_VALUE"""),"General")</f>
        <v>General</v>
      </c>
      <c r="F50" s="141" t="str">
        <f>IFERROR(__xludf.DUMMYFUNCTION("""COMPUTED_VALUE"""),"Beginner")</f>
        <v>Beginner</v>
      </c>
      <c r="G50" s="143">
        <f>IFERROR(__xludf.DUMMYFUNCTION("""COMPUTED_VALUE"""),0.02045138888888889)</f>
        <v>0.02045138889</v>
      </c>
      <c r="H50" s="151"/>
      <c r="I50" s="140"/>
      <c r="J50" s="140"/>
      <c r="K50" s="140"/>
      <c r="L50" s="147">
        <f>IFERROR(__xludf.DUMMYFUNCTION("""COMPUTED_VALUE"""),3006558.0)</f>
        <v>3006558</v>
      </c>
      <c r="M50" s="148" t="str">
        <f>IFERROR(__xludf.DUMMYFUNCTION("""COMPUTED_VALUE"""),"Connecting and Collaborating in a Virtual or Hybrid Workplace")</f>
        <v>Connecting and Collaborating in a Virtual or Hybrid Workplace</v>
      </c>
      <c r="N50" s="147" t="str">
        <f>IFERROR(__xludf.DUMMYFUNCTION("""COMPUTED_VALUE"""),"General")</f>
        <v>General</v>
      </c>
      <c r="O50" s="141" t="str">
        <f>IFERROR(__xludf.DUMMYFUNCTION("""COMPUTED_VALUE"""),"Beginner")</f>
        <v>Beginner</v>
      </c>
      <c r="P50" s="143">
        <f>IFERROR(__xludf.DUMMYFUNCTION("""COMPUTED_VALUE"""),0.030844907407407408)</f>
        <v>0.03084490741</v>
      </c>
      <c r="Q50" s="151"/>
      <c r="R50" s="140"/>
      <c r="S50" s="140"/>
    </row>
    <row r="51" ht="33.75" customHeight="1">
      <c r="A51" s="140"/>
      <c r="B51" s="140"/>
      <c r="C51" s="147">
        <f>IFERROR(__xludf.DUMMYFUNCTION("""COMPUTED_VALUE"""),2834039.0)</f>
        <v>2834039</v>
      </c>
      <c r="D51" s="148" t="str">
        <f>IFERROR(__xludf.DUMMYFUNCTION("""COMPUTED_VALUE"""),"Communication within Teams")</f>
        <v>Communication within Teams</v>
      </c>
      <c r="E51" s="147" t="str">
        <f>IFERROR(__xludf.DUMMYFUNCTION("""COMPUTED_VALUE"""),"General")</f>
        <v>General</v>
      </c>
      <c r="F51" s="141" t="str">
        <f>IFERROR(__xludf.DUMMYFUNCTION("""COMPUTED_VALUE"""),"Beginner")</f>
        <v>Beginner</v>
      </c>
      <c r="G51" s="143">
        <f>IFERROR(__xludf.DUMMYFUNCTION("""COMPUTED_VALUE"""),0.030601851851851852)</f>
        <v>0.03060185185</v>
      </c>
      <c r="H51" s="151"/>
      <c r="I51" s="140"/>
      <c r="J51" s="140"/>
      <c r="K51" s="140"/>
      <c r="L51" s="147">
        <f>IFERROR(__xludf.DUMMYFUNCTION("""COMPUTED_VALUE"""),2818078.0)</f>
        <v>2818078</v>
      </c>
      <c r="M51" s="148" t="str">
        <f>IFERROR(__xludf.DUMMYFUNCTION("""COMPUTED_VALUE"""),"How to Work with a Micromanager")</f>
        <v>How to Work with a Micromanager</v>
      </c>
      <c r="N51" s="147" t="str">
        <f>IFERROR(__xludf.DUMMYFUNCTION("""COMPUTED_VALUE"""),"General")</f>
        <v>General</v>
      </c>
      <c r="O51" s="141" t="str">
        <f>IFERROR(__xludf.DUMMYFUNCTION("""COMPUTED_VALUE"""),"Beginner + Intermediate")</f>
        <v>Beginner + Intermediate</v>
      </c>
      <c r="P51" s="143">
        <f>IFERROR(__xludf.DUMMYFUNCTION("""COMPUTED_VALUE"""),0.018564814814814815)</f>
        <v>0.01856481481</v>
      </c>
      <c r="Q51" s="151"/>
      <c r="R51" s="140"/>
      <c r="S51" s="140"/>
    </row>
    <row r="52" ht="33.75" customHeight="1">
      <c r="A52" s="140"/>
      <c r="B52" s="140"/>
      <c r="C52" s="147">
        <f>IFERROR(__xludf.DUMMYFUNCTION("""COMPUTED_VALUE"""),2884171.0)</f>
        <v>2884171</v>
      </c>
      <c r="D52" s="148" t="str">
        <f>IFERROR(__xludf.DUMMYFUNCTION("""COMPUTED_VALUE"""),"How to Inspire and Develop Your Direct Reports")</f>
        <v>How to Inspire and Develop Your Direct Reports</v>
      </c>
      <c r="E52" s="147" t="str">
        <f>IFERROR(__xludf.DUMMYFUNCTION("""COMPUTED_VALUE"""),"General")</f>
        <v>General</v>
      </c>
      <c r="F52" s="141" t="str">
        <f>IFERROR(__xludf.DUMMYFUNCTION("""COMPUTED_VALUE"""),"Beginner")</f>
        <v>Beginner</v>
      </c>
      <c r="G52" s="143">
        <f>IFERROR(__xludf.DUMMYFUNCTION("""COMPUTED_VALUE"""),0.020370370370370372)</f>
        <v>0.02037037037</v>
      </c>
      <c r="H52" s="151"/>
      <c r="I52" s="140"/>
      <c r="J52" s="140"/>
      <c r="K52" s="140"/>
      <c r="L52" s="147">
        <f>IFERROR(__xludf.DUMMYFUNCTION("""COMPUTED_VALUE"""),2823321.0)</f>
        <v>2823321</v>
      </c>
      <c r="M52" s="148" t="str">
        <f>IFERROR(__xludf.DUMMYFUNCTION("""COMPUTED_VALUE"""),"Communicating with Transparency")</f>
        <v>Communicating with Transparency</v>
      </c>
      <c r="N52" s="147" t="str">
        <f>IFERROR(__xludf.DUMMYFUNCTION("""COMPUTED_VALUE"""),"General")</f>
        <v>General</v>
      </c>
      <c r="O52" s="141" t="str">
        <f>IFERROR(__xludf.DUMMYFUNCTION("""COMPUTED_VALUE"""),"Beginner + Intermediate")</f>
        <v>Beginner + Intermediate</v>
      </c>
      <c r="P52" s="143">
        <f>IFERROR(__xludf.DUMMYFUNCTION("""COMPUTED_VALUE"""),0.026203703703703705)</f>
        <v>0.0262037037</v>
      </c>
      <c r="Q52" s="151"/>
      <c r="R52" s="140"/>
      <c r="S52" s="140"/>
    </row>
    <row r="53" ht="33.75" customHeight="1">
      <c r="A53" s="140"/>
      <c r="B53" s="140"/>
      <c r="C53" s="147">
        <f>IFERROR(__xludf.DUMMYFUNCTION("""COMPUTED_VALUE"""),2884172.0)</f>
        <v>2884172</v>
      </c>
      <c r="D53" s="148" t="str">
        <f>IFERROR(__xludf.DUMMYFUNCTION("""COMPUTED_VALUE"""),"A Navy SEAL's Surprising Key to Building Unstoppable Teams: Caring")</f>
        <v>A Navy SEAL's Surprising Key to Building Unstoppable Teams: Caring</v>
      </c>
      <c r="E53" s="147" t="str">
        <f>IFERROR(__xludf.DUMMYFUNCTION("""COMPUTED_VALUE"""),"General")</f>
        <v>General</v>
      </c>
      <c r="F53" s="141" t="str">
        <f>IFERROR(__xludf.DUMMYFUNCTION("""COMPUTED_VALUE"""),"Beginner")</f>
        <v>Beginner</v>
      </c>
      <c r="G53" s="143">
        <f>IFERROR(__xludf.DUMMYFUNCTION("""COMPUTED_VALUE"""),0.016805555555555556)</f>
        <v>0.01680555556</v>
      </c>
      <c r="H53" s="151"/>
      <c r="I53" s="140"/>
      <c r="J53" s="140"/>
      <c r="K53" s="140"/>
      <c r="L53" s="147">
        <f>IFERROR(__xludf.DUMMYFUNCTION("""COMPUTED_VALUE"""),709833.0)</f>
        <v>709833</v>
      </c>
      <c r="M53" s="148" t="str">
        <f>IFERROR(__xludf.DUMMYFUNCTION("""COMPUTED_VALUE"""),"Being an Effective Team Member")</f>
        <v>Being an Effective Team Member</v>
      </c>
      <c r="N53" s="147" t="str">
        <f>IFERROR(__xludf.DUMMYFUNCTION("""COMPUTED_VALUE"""),"General")</f>
        <v>General</v>
      </c>
      <c r="O53" s="141" t="str">
        <f>IFERROR(__xludf.DUMMYFUNCTION("""COMPUTED_VALUE"""),"Beginner + Intermediate")</f>
        <v>Beginner + Intermediate</v>
      </c>
      <c r="P53" s="143">
        <f>IFERROR(__xludf.DUMMYFUNCTION("""COMPUTED_VALUE"""),0.021956018518518517)</f>
        <v>0.02195601852</v>
      </c>
      <c r="Q53" s="151"/>
      <c r="R53" s="140"/>
      <c r="S53" s="140"/>
    </row>
    <row r="54" ht="33.75" customHeight="1">
      <c r="A54" s="140"/>
      <c r="B54" s="140"/>
      <c r="C54" s="147">
        <f>IFERROR(__xludf.DUMMYFUNCTION("""COMPUTED_VALUE"""),2888118.0)</f>
        <v>2888118</v>
      </c>
      <c r="D54" s="148" t="str">
        <f>IFERROR(__xludf.DUMMYFUNCTION("""COMPUTED_VALUE"""),"How to Stop Wasting Time in Meetings")</f>
        <v>How to Stop Wasting Time in Meetings</v>
      </c>
      <c r="E54" s="147" t="str">
        <f>IFERROR(__xludf.DUMMYFUNCTION("""COMPUTED_VALUE"""),"General")</f>
        <v>General</v>
      </c>
      <c r="F54" s="141" t="str">
        <f>IFERROR(__xludf.DUMMYFUNCTION("""COMPUTED_VALUE"""),"Beginner")</f>
        <v>Beginner</v>
      </c>
      <c r="G54" s="143">
        <f>IFERROR(__xludf.DUMMYFUNCTION("""COMPUTED_VALUE"""),0.023240740740740742)</f>
        <v>0.02324074074</v>
      </c>
      <c r="H54" s="151"/>
      <c r="I54" s="140"/>
      <c r="J54" s="140"/>
      <c r="K54" s="140"/>
      <c r="L54" s="147">
        <f>IFERROR(__xludf.DUMMYFUNCTION("""COMPUTED_VALUE"""),700791.0)</f>
        <v>700791</v>
      </c>
      <c r="M54" s="148" t="str">
        <f>IFERROR(__xludf.DUMMYFUNCTION("""COMPUTED_VALUE"""),"Building Trust")</f>
        <v>Building Trust</v>
      </c>
      <c r="N54" s="147" t="str">
        <f>IFERROR(__xludf.DUMMYFUNCTION("""COMPUTED_VALUE"""),"General")</f>
        <v>General</v>
      </c>
      <c r="O54" s="141" t="str">
        <f>IFERROR(__xludf.DUMMYFUNCTION("""COMPUTED_VALUE"""),"Beginner + Intermediate")</f>
        <v>Beginner + Intermediate</v>
      </c>
      <c r="P54" s="143">
        <f>IFERROR(__xludf.DUMMYFUNCTION("""COMPUTED_VALUE"""),0.040219907407407406)</f>
        <v>0.04021990741</v>
      </c>
      <c r="Q54" s="151"/>
      <c r="R54" s="140"/>
      <c r="S54" s="140"/>
    </row>
    <row r="55" ht="33.75" customHeight="1">
      <c r="A55" s="140"/>
      <c r="B55" s="140"/>
      <c r="C55" s="147">
        <f>IFERROR(__xludf.DUMMYFUNCTION("""COMPUTED_VALUE"""),2426609.0)</f>
        <v>2426609</v>
      </c>
      <c r="D55" s="148" t="str">
        <f>IFERROR(__xludf.DUMMYFUNCTION("""COMPUTED_VALUE"""),"The Art of Leadership (getAbstract Summary)")</f>
        <v>The Art of Leadership (getAbstract Summary)</v>
      </c>
      <c r="E55" s="147" t="str">
        <f>IFERROR(__xludf.DUMMYFUNCTION("""COMPUTED_VALUE"""),"General")</f>
        <v>General</v>
      </c>
      <c r="F55" s="141" t="str">
        <f>IFERROR(__xludf.DUMMYFUNCTION("""COMPUTED_VALUE"""),"Beginner")</f>
        <v>Beginner</v>
      </c>
      <c r="G55" s="143">
        <f>IFERROR(__xludf.DUMMYFUNCTION("""COMPUTED_VALUE"""),0.009652777777777777)</f>
        <v>0.009652777778</v>
      </c>
      <c r="H55" s="151"/>
      <c r="I55" s="140"/>
      <c r="J55" s="140"/>
      <c r="K55" s="140"/>
      <c r="L55" s="147">
        <f>IFERROR(__xludf.DUMMYFUNCTION("""COMPUTED_VALUE"""),622053.0)</f>
        <v>622053</v>
      </c>
      <c r="M55" s="148" t="str">
        <f>IFERROR(__xludf.DUMMYFUNCTION("""COMPUTED_VALUE"""),"Giving and Receiving Feedback")</f>
        <v>Giving and Receiving Feedback</v>
      </c>
      <c r="N55" s="147" t="str">
        <f>IFERROR(__xludf.DUMMYFUNCTION("""COMPUTED_VALUE"""),"General")</f>
        <v>General</v>
      </c>
      <c r="O55" s="141" t="str">
        <f>IFERROR(__xludf.DUMMYFUNCTION("""COMPUTED_VALUE"""),"Beginner + Intermediate")</f>
        <v>Beginner + Intermediate</v>
      </c>
      <c r="P55" s="143">
        <f>IFERROR(__xludf.DUMMYFUNCTION("""COMPUTED_VALUE"""),0.03346064814814815)</f>
        <v>0.03346064815</v>
      </c>
      <c r="Q55" s="151"/>
      <c r="R55" s="140"/>
      <c r="S55" s="140"/>
    </row>
    <row r="56" ht="33.75" customHeight="1">
      <c r="A56" s="140"/>
      <c r="B56" s="140"/>
      <c r="C56" s="147">
        <f>IFERROR(__xludf.DUMMYFUNCTION("""COMPUTED_VALUE"""),647657.0)</f>
        <v>647657</v>
      </c>
      <c r="D56" s="148" t="str">
        <f>IFERROR(__xludf.DUMMYFUNCTION("""COMPUTED_VALUE"""),"Boosting Your Team's Productivity")</f>
        <v>Boosting Your Team's Productivity</v>
      </c>
      <c r="E56" s="147" t="str">
        <f>IFERROR(__xludf.DUMMYFUNCTION("""COMPUTED_VALUE"""),"General")</f>
        <v>General</v>
      </c>
      <c r="F56" s="141" t="str">
        <f>IFERROR(__xludf.DUMMYFUNCTION("""COMPUTED_VALUE"""),"General")</f>
        <v>General</v>
      </c>
      <c r="G56" s="143">
        <f>IFERROR(__xludf.DUMMYFUNCTION("""COMPUTED_VALUE"""),0.027175925925925926)</f>
        <v>0.02717592593</v>
      </c>
      <c r="H56" s="151"/>
      <c r="I56" s="140"/>
      <c r="J56" s="140"/>
      <c r="K56" s="140"/>
      <c r="L56" s="147">
        <f>IFERROR(__xludf.DUMMYFUNCTION("""COMPUTED_VALUE"""),653220.0)</f>
        <v>653220</v>
      </c>
      <c r="M56" s="148" t="str">
        <f>IFERROR(__xludf.DUMMYFUNCTION("""COMPUTED_VALUE"""),"Improving Your Listening Skills")</f>
        <v>Improving Your Listening Skills</v>
      </c>
      <c r="N56" s="147" t="str">
        <f>IFERROR(__xludf.DUMMYFUNCTION("""COMPUTED_VALUE"""),"General")</f>
        <v>General</v>
      </c>
      <c r="O56" s="141" t="str">
        <f>IFERROR(__xludf.DUMMYFUNCTION("""COMPUTED_VALUE"""),"Beginner + Intermediate")</f>
        <v>Beginner + Intermediate</v>
      </c>
      <c r="P56" s="143">
        <f>IFERROR(__xludf.DUMMYFUNCTION("""COMPUTED_VALUE"""),0.020162037037037037)</f>
        <v>0.02016203704</v>
      </c>
      <c r="Q56" s="151"/>
      <c r="R56" s="140"/>
      <c r="S56" s="140"/>
    </row>
    <row r="57" ht="33.75" customHeight="1">
      <c r="A57" s="140"/>
      <c r="B57" s="140"/>
      <c r="C57" s="147">
        <f>IFERROR(__xludf.DUMMYFUNCTION("""COMPUTED_VALUE"""),758616.0)</f>
        <v>758616</v>
      </c>
      <c r="D57" s="148" t="str">
        <f>IFERROR(__xludf.DUMMYFUNCTION("""COMPUTED_VALUE"""),"Shane Snow on Dream Teams")</f>
        <v>Shane Snow on Dream Teams</v>
      </c>
      <c r="E57" s="147" t="str">
        <f>IFERROR(__xludf.DUMMYFUNCTION("""COMPUTED_VALUE"""),"General")</f>
        <v>General</v>
      </c>
      <c r="F57" s="141" t="str">
        <f>IFERROR(__xludf.DUMMYFUNCTION("""COMPUTED_VALUE"""),"General")</f>
        <v>General</v>
      </c>
      <c r="G57" s="143">
        <f>IFERROR(__xludf.DUMMYFUNCTION("""COMPUTED_VALUE"""),0.015173611111111112)</f>
        <v>0.01517361111</v>
      </c>
      <c r="H57" s="151"/>
      <c r="I57" s="140"/>
      <c r="J57" s="140"/>
      <c r="K57" s="140"/>
      <c r="L57" s="147">
        <f>IFERROR(__xludf.DUMMYFUNCTION("""COMPUTED_VALUE"""),2886252.0)</f>
        <v>2886252</v>
      </c>
      <c r="M57" s="148" t="str">
        <f>IFERROR(__xludf.DUMMYFUNCTION("""COMPUTED_VALUE"""),"Microsoft Viva First Look")</f>
        <v>Microsoft Viva First Look</v>
      </c>
      <c r="N57" s="147" t="str">
        <f>IFERROR(__xludf.DUMMYFUNCTION("""COMPUTED_VALUE"""),"General")</f>
        <v>General</v>
      </c>
      <c r="O57" s="141" t="str">
        <f>IFERROR(__xludf.DUMMYFUNCTION("""COMPUTED_VALUE"""),"Beginner + Intermediate")</f>
        <v>Beginner + Intermediate</v>
      </c>
      <c r="P57" s="143">
        <f>IFERROR(__xludf.DUMMYFUNCTION("""COMPUTED_VALUE"""),0.03113425925925926)</f>
        <v>0.03113425926</v>
      </c>
      <c r="Q57" s="151"/>
      <c r="R57" s="140"/>
      <c r="S57" s="140"/>
    </row>
    <row r="58" ht="33.75" customHeight="1">
      <c r="A58" s="140"/>
      <c r="B58" s="140"/>
      <c r="C58" s="147">
        <f>IFERROR(__xludf.DUMMYFUNCTION("""COMPUTED_VALUE"""),2244039.0)</f>
        <v>2244039</v>
      </c>
      <c r="D58" s="148" t="str">
        <f>IFERROR(__xludf.DUMMYFUNCTION("""COMPUTED_VALUE"""),"A Great Place to Work for All (getAbstract Summary)")</f>
        <v>A Great Place to Work for All (getAbstract Summary)</v>
      </c>
      <c r="E58" s="147" t="str">
        <f>IFERROR(__xludf.DUMMYFUNCTION("""COMPUTED_VALUE"""),"General")</f>
        <v>General</v>
      </c>
      <c r="F58" s="141" t="str">
        <f>IFERROR(__xludf.DUMMYFUNCTION("""COMPUTED_VALUE"""),"General")</f>
        <v>General</v>
      </c>
      <c r="G58" s="143">
        <f>IFERROR(__xludf.DUMMYFUNCTION("""COMPUTED_VALUE"""),0.0059722222222222225)</f>
        <v>0.005972222222</v>
      </c>
      <c r="H58" s="151"/>
      <c r="I58" s="140"/>
      <c r="J58" s="140"/>
      <c r="K58" s="140"/>
      <c r="L58" s="147">
        <f>IFERROR(__xludf.DUMMYFUNCTION("""COMPUTED_VALUE"""),2425359.0)</f>
        <v>2425359</v>
      </c>
      <c r="M58" s="148" t="str">
        <f>IFERROR(__xludf.DUMMYFUNCTION("""COMPUTED_VALUE"""),"Learning to Say No with Confidence and Grace")</f>
        <v>Learning to Say No with Confidence and Grace</v>
      </c>
      <c r="N58" s="147" t="str">
        <f>IFERROR(__xludf.DUMMYFUNCTION("""COMPUTED_VALUE"""),"General")</f>
        <v>General</v>
      </c>
      <c r="O58" s="141" t="str">
        <f>IFERROR(__xludf.DUMMYFUNCTION("""COMPUTED_VALUE"""),"General")</f>
        <v>General</v>
      </c>
      <c r="P58" s="143">
        <f>IFERROR(__xludf.DUMMYFUNCTION("""COMPUTED_VALUE"""),0.02966435185185185)</f>
        <v>0.02966435185</v>
      </c>
      <c r="Q58" s="151"/>
      <c r="R58" s="140"/>
      <c r="S58" s="140"/>
    </row>
    <row r="59" ht="33.75" customHeight="1">
      <c r="A59" s="140"/>
      <c r="B59" s="140"/>
      <c r="C59" s="147">
        <f>IFERROR(__xludf.DUMMYFUNCTION("""COMPUTED_VALUE"""),2837262.0)</f>
        <v>2837262</v>
      </c>
      <c r="D59" s="148" t="str">
        <f>IFERROR(__xludf.DUMMYFUNCTION("""COMPUTED_VALUE"""),"Business Chemistry (Blinkist Summary)")</f>
        <v>Business Chemistry (Blinkist Summary)</v>
      </c>
      <c r="E59" s="147" t="str">
        <f>IFERROR(__xludf.DUMMYFUNCTION("""COMPUTED_VALUE"""),"General")</f>
        <v>General</v>
      </c>
      <c r="F59" s="141" t="str">
        <f>IFERROR(__xludf.DUMMYFUNCTION("""COMPUTED_VALUE"""),"General")</f>
        <v>General</v>
      </c>
      <c r="G59" s="143">
        <f>IFERROR(__xludf.DUMMYFUNCTION("""COMPUTED_VALUE"""),0.01675925925925926)</f>
        <v>0.01675925926</v>
      </c>
      <c r="H59" s="151"/>
      <c r="I59" s="140"/>
      <c r="J59" s="140"/>
      <c r="K59" s="140"/>
      <c r="L59" s="147">
        <f>IFERROR(__xludf.DUMMYFUNCTION("""COMPUTED_VALUE"""),176760.0)</f>
        <v>176760</v>
      </c>
      <c r="M59" s="148" t="str">
        <f>IFERROR(__xludf.DUMMYFUNCTION("""COMPUTED_VALUE"""),"Effective Listening")</f>
        <v>Effective Listening</v>
      </c>
      <c r="N59" s="147" t="str">
        <f>IFERROR(__xludf.DUMMYFUNCTION("""COMPUTED_VALUE"""),"General")</f>
        <v>General</v>
      </c>
      <c r="O59" s="141" t="str">
        <f>IFERROR(__xludf.DUMMYFUNCTION("""COMPUTED_VALUE"""),"General")</f>
        <v>General</v>
      </c>
      <c r="P59" s="143">
        <f>IFERROR(__xludf.DUMMYFUNCTION("""COMPUTED_VALUE"""),0.04486111111111111)</f>
        <v>0.04486111111</v>
      </c>
      <c r="Q59" s="151"/>
      <c r="R59" s="140"/>
      <c r="S59" s="140"/>
    </row>
    <row r="60" ht="33.75" customHeight="1">
      <c r="A60" s="140"/>
      <c r="B60" s="140"/>
      <c r="C60" s="147">
        <f>IFERROR(__xludf.DUMMYFUNCTION("""COMPUTED_VALUE"""),2835113.0)</f>
        <v>2835113</v>
      </c>
      <c r="D60" s="148" t="str">
        <f>IFERROR(__xludf.DUMMYFUNCTION("""COMPUTED_VALUE"""),"Essentials of Team Collaboration")</f>
        <v>Essentials of Team Collaboration</v>
      </c>
      <c r="E60" s="147" t="str">
        <f>IFERROR(__xludf.DUMMYFUNCTION("""COMPUTED_VALUE"""),"General")</f>
        <v>General</v>
      </c>
      <c r="F60" s="141" t="str">
        <f>IFERROR(__xludf.DUMMYFUNCTION("""COMPUTED_VALUE"""),"General")</f>
        <v>General</v>
      </c>
      <c r="G60" s="143">
        <f>IFERROR(__xludf.DUMMYFUNCTION("""COMPUTED_VALUE"""),0.022627314814814815)</f>
        <v>0.02262731481</v>
      </c>
      <c r="H60" s="151"/>
      <c r="I60" s="140"/>
      <c r="J60" s="140"/>
      <c r="K60" s="140"/>
      <c r="L60" s="147">
        <f>IFERROR(__xludf.DUMMYFUNCTION("""COMPUTED_VALUE"""),466176.0)</f>
        <v>466176</v>
      </c>
      <c r="M60" s="148" t="str">
        <f>IFERROR(__xludf.DUMMYFUNCTION("""COMPUTED_VALUE"""),"Professional Networking")</f>
        <v>Professional Networking</v>
      </c>
      <c r="N60" s="147" t="str">
        <f>IFERROR(__xludf.DUMMYFUNCTION("""COMPUTED_VALUE"""),"General")</f>
        <v>General</v>
      </c>
      <c r="O60" s="141" t="str">
        <f>IFERROR(__xludf.DUMMYFUNCTION("""COMPUTED_VALUE"""),"General")</f>
        <v>General</v>
      </c>
      <c r="P60" s="143">
        <f>IFERROR(__xludf.DUMMYFUNCTION("""COMPUTED_VALUE"""),0.019305555555555555)</f>
        <v>0.01930555556</v>
      </c>
      <c r="Q60" s="151"/>
      <c r="R60" s="140"/>
      <c r="S60" s="140"/>
    </row>
    <row r="61" ht="33.75" customHeight="1">
      <c r="A61" s="140"/>
      <c r="B61" s="140"/>
      <c r="C61" s="147">
        <f>IFERROR(__xludf.DUMMYFUNCTION("""COMPUTED_VALUE"""),2884194.0)</f>
        <v>2884194</v>
      </c>
      <c r="D61" s="148" t="str">
        <f>IFERROR(__xludf.DUMMYFUNCTION("""COMPUTED_VALUE"""),"Best Practices for New People Leaders")</f>
        <v>Best Practices for New People Leaders</v>
      </c>
      <c r="E61" s="147" t="str">
        <f>IFERROR(__xludf.DUMMYFUNCTION("""COMPUTED_VALUE"""),"General")</f>
        <v>General</v>
      </c>
      <c r="F61" s="141" t="str">
        <f>IFERROR(__xludf.DUMMYFUNCTION("""COMPUTED_VALUE"""),"General")</f>
        <v>General</v>
      </c>
      <c r="G61" s="143">
        <f>IFERROR(__xludf.DUMMYFUNCTION("""COMPUTED_VALUE"""),0.06069444444444445)</f>
        <v>0.06069444444</v>
      </c>
      <c r="H61" s="151"/>
      <c r="I61" s="140"/>
      <c r="J61" s="140"/>
      <c r="K61" s="140"/>
      <c r="L61" s="147">
        <f>IFERROR(__xludf.DUMMYFUNCTION("""COMPUTED_VALUE"""),2825258.0)</f>
        <v>2825258</v>
      </c>
      <c r="M61" s="148" t="str">
        <f>IFERROR(__xludf.DUMMYFUNCTION("""COMPUTED_VALUE"""),"Why Trust Matters with Rachel Botsman")</f>
        <v>Why Trust Matters with Rachel Botsman</v>
      </c>
      <c r="N61" s="147" t="str">
        <f>IFERROR(__xludf.DUMMYFUNCTION("""COMPUTED_VALUE"""),"General")</f>
        <v>General</v>
      </c>
      <c r="O61" s="141" t="str">
        <f>IFERROR(__xludf.DUMMYFUNCTION("""COMPUTED_VALUE"""),"General")</f>
        <v>General</v>
      </c>
      <c r="P61" s="143">
        <f>IFERROR(__xludf.DUMMYFUNCTION("""COMPUTED_VALUE"""),0.017962962962962962)</f>
        <v>0.01796296296</v>
      </c>
      <c r="Q61" s="151"/>
      <c r="R61" s="140"/>
      <c r="S61" s="140"/>
    </row>
    <row r="62" ht="33.75" customHeight="1">
      <c r="A62" s="140"/>
      <c r="B62" s="140"/>
      <c r="C62" s="147">
        <f>IFERROR(__xludf.DUMMYFUNCTION("""COMPUTED_VALUE"""),2884198.0)</f>
        <v>2884198</v>
      </c>
      <c r="D62" s="148" t="str">
        <f>IFERROR(__xludf.DUMMYFUNCTION("""COMPUTED_VALUE"""),"Backgrounder: Leadership Conversations with Different Personalities")</f>
        <v>Backgrounder: Leadership Conversations with Different Personalities</v>
      </c>
      <c r="E62" s="147" t="str">
        <f>IFERROR(__xludf.DUMMYFUNCTION("""COMPUTED_VALUE"""),"General")</f>
        <v>General</v>
      </c>
      <c r="F62" s="141" t="str">
        <f>IFERROR(__xludf.DUMMYFUNCTION("""COMPUTED_VALUE"""),"General")</f>
        <v>General</v>
      </c>
      <c r="G62" s="143">
        <f>IFERROR(__xludf.DUMMYFUNCTION("""COMPUTED_VALUE"""),0.02273148148148148)</f>
        <v>0.02273148148</v>
      </c>
      <c r="H62" s="151"/>
      <c r="I62" s="140"/>
      <c r="J62" s="140"/>
      <c r="K62" s="140"/>
      <c r="L62" s="147">
        <f>IFERROR(__xludf.DUMMYFUNCTION("""COMPUTED_VALUE"""),2313156.0)</f>
        <v>2313156</v>
      </c>
      <c r="M62" s="148" t="str">
        <f>IFERROR(__xludf.DUMMYFUNCTION("""COMPUTED_VALUE"""),"Dealing with Grief, Loss, and Change as an Employee")</f>
        <v>Dealing with Grief, Loss, and Change as an Employee</v>
      </c>
      <c r="N62" s="147" t="str">
        <f>IFERROR(__xludf.DUMMYFUNCTION("""COMPUTED_VALUE"""),"General")</f>
        <v>General</v>
      </c>
      <c r="O62" s="141" t="str">
        <f>IFERROR(__xludf.DUMMYFUNCTION("""COMPUTED_VALUE"""),"General")</f>
        <v>General</v>
      </c>
      <c r="P62" s="143">
        <f>IFERROR(__xludf.DUMMYFUNCTION("""COMPUTED_VALUE"""),0.03699074074074074)</f>
        <v>0.03699074074</v>
      </c>
      <c r="Q62" s="151"/>
      <c r="R62" s="140"/>
      <c r="S62" s="140"/>
    </row>
    <row r="63" ht="33.75" customHeight="1">
      <c r="A63" s="140"/>
      <c r="B63" s="140"/>
      <c r="C63" s="147">
        <f>IFERROR(__xludf.DUMMYFUNCTION("""COMPUTED_VALUE"""),718627.0)</f>
        <v>718627</v>
      </c>
      <c r="D63" s="148" t="str">
        <f>IFERROR(__xludf.DUMMYFUNCTION("""COMPUTED_VALUE"""),"Enhancing Team Innovation")</f>
        <v>Enhancing Team Innovation</v>
      </c>
      <c r="E63" s="147" t="str">
        <f>IFERROR(__xludf.DUMMYFUNCTION("""COMPUTED_VALUE"""),"General")</f>
        <v>General</v>
      </c>
      <c r="F63" s="141" t="str">
        <f>IFERROR(__xludf.DUMMYFUNCTION("""COMPUTED_VALUE"""),"Intermediate")</f>
        <v>Intermediate</v>
      </c>
      <c r="G63" s="143">
        <f>IFERROR(__xludf.DUMMYFUNCTION("""COMPUTED_VALUE"""),0.051597222222222225)</f>
        <v>0.05159722222</v>
      </c>
      <c r="H63" s="151"/>
      <c r="I63" s="140"/>
      <c r="J63" s="140"/>
      <c r="K63" s="140"/>
      <c r="L63" s="147">
        <f>IFERROR(__xludf.DUMMYFUNCTION("""COMPUTED_VALUE"""),2801187.0)</f>
        <v>2801187</v>
      </c>
      <c r="M63" s="148" t="str">
        <f>IFERROR(__xludf.DUMMYFUNCTION("""COMPUTED_VALUE"""),"Business Ethics")</f>
        <v>Business Ethics</v>
      </c>
      <c r="N63" s="147" t="str">
        <f>IFERROR(__xludf.DUMMYFUNCTION("""COMPUTED_VALUE"""),"General")</f>
        <v>General</v>
      </c>
      <c r="O63" s="141" t="str">
        <f>IFERROR(__xludf.DUMMYFUNCTION("""COMPUTED_VALUE"""),"General")</f>
        <v>General</v>
      </c>
      <c r="P63" s="143">
        <f>IFERROR(__xludf.DUMMYFUNCTION("""COMPUTED_VALUE"""),0.03744212962962963)</f>
        <v>0.03744212963</v>
      </c>
      <c r="Q63" s="151"/>
      <c r="R63" s="140"/>
      <c r="S63" s="140"/>
    </row>
    <row r="64" ht="33.75" customHeight="1">
      <c r="A64" s="140"/>
      <c r="B64" s="140"/>
      <c r="C64" s="147">
        <f>IFERROR(__xludf.DUMMYFUNCTION("""COMPUTED_VALUE"""),2825124.0)</f>
        <v>2825124</v>
      </c>
      <c r="D64" s="148" t="str">
        <f>IFERROR(__xludf.DUMMYFUNCTION("""COMPUTED_VALUE"""),"Building and Managing a High-Performing Sales Team")</f>
        <v>Building and Managing a High-Performing Sales Team</v>
      </c>
      <c r="E64" s="147" t="str">
        <f>IFERROR(__xludf.DUMMYFUNCTION("""COMPUTED_VALUE"""),"General")</f>
        <v>General</v>
      </c>
      <c r="F64" s="141" t="str">
        <f>IFERROR(__xludf.DUMMYFUNCTION("""COMPUTED_VALUE"""),"Intermediate")</f>
        <v>Intermediate</v>
      </c>
      <c r="G64" s="143">
        <f>IFERROR(__xludf.DUMMYFUNCTION("""COMPUTED_VALUE"""),0.039699074074074074)</f>
        <v>0.03969907407</v>
      </c>
      <c r="H64" s="151"/>
      <c r="I64" s="140"/>
      <c r="J64" s="140"/>
      <c r="K64" s="140"/>
      <c r="L64" s="147">
        <f>IFERROR(__xludf.DUMMYFUNCTION("""COMPUTED_VALUE"""),5025098.0)</f>
        <v>5025098</v>
      </c>
      <c r="M64" s="148" t="str">
        <f>IFERROR(__xludf.DUMMYFUNCTION("""COMPUTED_VALUE"""),"Skills for Inclusive Conversations")</f>
        <v>Skills for Inclusive Conversations</v>
      </c>
      <c r="N64" s="147" t="str">
        <f>IFERROR(__xludf.DUMMYFUNCTION("""COMPUTED_VALUE"""),"General")</f>
        <v>General</v>
      </c>
      <c r="O64" s="141" t="str">
        <f>IFERROR(__xludf.DUMMYFUNCTION("""COMPUTED_VALUE"""),"General")</f>
        <v>General</v>
      </c>
      <c r="P64" s="143">
        <f>IFERROR(__xludf.DUMMYFUNCTION("""COMPUTED_VALUE"""),0.036944444444444446)</f>
        <v>0.03694444444</v>
      </c>
      <c r="Q64" s="151"/>
      <c r="R64" s="140"/>
      <c r="S64" s="140"/>
    </row>
    <row r="65" ht="33.75" customHeight="1">
      <c r="A65" s="140"/>
      <c r="B65" s="140"/>
      <c r="C65" s="147">
        <f>IFERROR(__xludf.DUMMYFUNCTION("""COMPUTED_VALUE"""),2972406.0)</f>
        <v>2972406</v>
      </c>
      <c r="D65" s="148" t="str">
        <f>IFERROR(__xludf.DUMMYFUNCTION("""COMPUTED_VALUE"""),"Creating Winning Teams")</f>
        <v>Creating Winning Teams</v>
      </c>
      <c r="E65" s="147" t="str">
        <f>IFERROR(__xludf.DUMMYFUNCTION("""COMPUTED_VALUE"""),"General")</f>
        <v>General</v>
      </c>
      <c r="F65" s="141" t="str">
        <f>IFERROR(__xludf.DUMMYFUNCTION("""COMPUTED_VALUE"""),"Intermediate")</f>
        <v>Intermediate</v>
      </c>
      <c r="G65" s="143">
        <f>IFERROR(__xludf.DUMMYFUNCTION("""COMPUTED_VALUE"""),0.02917824074074074)</f>
        <v>0.02917824074</v>
      </c>
      <c r="H65" s="151"/>
      <c r="I65" s="140"/>
      <c r="J65" s="140"/>
      <c r="K65" s="140"/>
      <c r="L65" s="147">
        <f>IFERROR(__xludf.DUMMYFUNCTION("""COMPUTED_VALUE"""),2849185.0)</f>
        <v>2849185</v>
      </c>
      <c r="M65" s="148" t="str">
        <f>IFERROR(__xludf.DUMMYFUNCTION("""COMPUTED_VALUE"""),"Building Relationships While Working from Home")</f>
        <v>Building Relationships While Working from Home</v>
      </c>
      <c r="N65" s="147" t="str">
        <f>IFERROR(__xludf.DUMMYFUNCTION("""COMPUTED_VALUE"""),"General")</f>
        <v>General</v>
      </c>
      <c r="O65" s="141" t="str">
        <f>IFERROR(__xludf.DUMMYFUNCTION("""COMPUTED_VALUE"""),"General")</f>
        <v>General</v>
      </c>
      <c r="P65" s="143">
        <f>IFERROR(__xludf.DUMMYFUNCTION("""COMPUTED_VALUE"""),0.01565972222222222)</f>
        <v>0.01565972222</v>
      </c>
      <c r="Q65" s="151"/>
      <c r="R65" s="140"/>
      <c r="S65" s="140"/>
    </row>
    <row r="66" ht="33.75" customHeight="1">
      <c r="A66" s="140"/>
      <c r="B66" s="140"/>
      <c r="C66" s="147">
        <f>IFERROR(__xludf.DUMMYFUNCTION("""COMPUTED_VALUE"""),2974330.0)</f>
        <v>2974330</v>
      </c>
      <c r="D66" s="148" t="str">
        <f>IFERROR(__xludf.DUMMYFUNCTION("""COMPUTED_VALUE"""),"Creating an Adaptable Team")</f>
        <v>Creating an Adaptable Team</v>
      </c>
      <c r="E66" s="147" t="str">
        <f>IFERROR(__xludf.DUMMYFUNCTION("""COMPUTED_VALUE"""),"General")</f>
        <v>General</v>
      </c>
      <c r="F66" s="141" t="str">
        <f>IFERROR(__xludf.DUMMYFUNCTION("""COMPUTED_VALUE"""),"Intermediate")</f>
        <v>Intermediate</v>
      </c>
      <c r="G66" s="143">
        <f>IFERROR(__xludf.DUMMYFUNCTION("""COMPUTED_VALUE"""),0.028136574074074074)</f>
        <v>0.02813657407</v>
      </c>
      <c r="H66" s="151"/>
      <c r="I66" s="140"/>
      <c r="J66" s="140"/>
      <c r="K66" s="140"/>
      <c r="L66" s="147">
        <f>IFERROR(__xludf.DUMMYFUNCTION("""COMPUTED_VALUE"""),2835113.0)</f>
        <v>2835113</v>
      </c>
      <c r="M66" s="148" t="str">
        <f>IFERROR(__xludf.DUMMYFUNCTION("""COMPUTED_VALUE"""),"Essentials of Team Collaboration")</f>
        <v>Essentials of Team Collaboration</v>
      </c>
      <c r="N66" s="147" t="str">
        <f>IFERROR(__xludf.DUMMYFUNCTION("""COMPUTED_VALUE"""),"General")</f>
        <v>General</v>
      </c>
      <c r="O66" s="141" t="str">
        <f>IFERROR(__xludf.DUMMYFUNCTION("""COMPUTED_VALUE"""),"General")</f>
        <v>General</v>
      </c>
      <c r="P66" s="143">
        <f>IFERROR(__xludf.DUMMYFUNCTION("""COMPUTED_VALUE"""),0.022627314814814815)</f>
        <v>0.02262731481</v>
      </c>
      <c r="Q66" s="151"/>
      <c r="R66" s="140"/>
      <c r="S66" s="140"/>
    </row>
    <row r="67" ht="33.75" customHeight="1">
      <c r="A67" s="140"/>
      <c r="B67" s="140"/>
      <c r="C67" s="147">
        <f>IFERROR(__xludf.DUMMYFUNCTION("""COMPUTED_VALUE"""),2874261.0)</f>
        <v>2874261</v>
      </c>
      <c r="D67" s="148" t="str">
        <f>IFERROR(__xludf.DUMMYFUNCTION("""COMPUTED_VALUE"""),"Leveraging Virtual and Hybrid Teams for Improved Effectiveness")</f>
        <v>Leveraging Virtual and Hybrid Teams for Improved Effectiveness</v>
      </c>
      <c r="E67" s="147" t="str">
        <f>IFERROR(__xludf.DUMMYFUNCTION("""COMPUTED_VALUE"""),"General")</f>
        <v>General</v>
      </c>
      <c r="F67" s="141" t="str">
        <f>IFERROR(__xludf.DUMMYFUNCTION("""COMPUTED_VALUE"""),"Intermediate")</f>
        <v>Intermediate</v>
      </c>
      <c r="G67" s="143">
        <f>IFERROR(__xludf.DUMMYFUNCTION("""COMPUTED_VALUE"""),0.020694444444444446)</f>
        <v>0.02069444444</v>
      </c>
      <c r="H67" s="151"/>
      <c r="I67" s="140"/>
      <c r="J67" s="140"/>
      <c r="K67" s="140"/>
      <c r="L67" s="147">
        <f>IFERROR(__xludf.DUMMYFUNCTION("""COMPUTED_VALUE"""),2300009.0)</f>
        <v>2300009</v>
      </c>
      <c r="M67" s="148" t="str">
        <f>IFERROR(__xludf.DUMMYFUNCTION("""COMPUTED_VALUE"""),"Managing Up as an Employee")</f>
        <v>Managing Up as an Employee</v>
      </c>
      <c r="N67" s="147" t="str">
        <f>IFERROR(__xludf.DUMMYFUNCTION("""COMPUTED_VALUE"""),"General")</f>
        <v>General</v>
      </c>
      <c r="O67" s="141" t="str">
        <f>IFERROR(__xludf.DUMMYFUNCTION("""COMPUTED_VALUE"""),"General")</f>
        <v>General</v>
      </c>
      <c r="P67" s="143">
        <f>IFERROR(__xludf.DUMMYFUNCTION("""COMPUTED_VALUE"""),0.034305555555555554)</f>
        <v>0.03430555556</v>
      </c>
      <c r="Q67" s="151"/>
      <c r="R67" s="140"/>
      <c r="S67" s="140"/>
    </row>
    <row r="68" ht="33.75" customHeight="1">
      <c r="A68" s="140"/>
      <c r="B68" s="140"/>
      <c r="C68" s="147">
        <f>IFERROR(__xludf.DUMMYFUNCTION("""COMPUTED_VALUE"""),2876319.0)</f>
        <v>2876319</v>
      </c>
      <c r="D68" s="148" t="str">
        <f>IFERROR(__xludf.DUMMYFUNCTION("""COMPUTED_VALUE"""),"Creating the Environment for Productive Virtual Teams")</f>
        <v>Creating the Environment for Productive Virtual Teams</v>
      </c>
      <c r="E68" s="147" t="str">
        <f>IFERROR(__xludf.DUMMYFUNCTION("""COMPUTED_VALUE"""),"General")</f>
        <v>General</v>
      </c>
      <c r="F68" s="141" t="str">
        <f>IFERROR(__xludf.DUMMYFUNCTION("""COMPUTED_VALUE"""),"Intermediate")</f>
        <v>Intermediate</v>
      </c>
      <c r="G68" s="143">
        <f>IFERROR(__xludf.DUMMYFUNCTION("""COMPUTED_VALUE"""),0.025613425925925925)</f>
        <v>0.02561342593</v>
      </c>
      <c r="H68" s="151"/>
      <c r="I68" s="140"/>
      <c r="J68" s="140"/>
      <c r="K68" s="140"/>
      <c r="L68" s="147">
        <f>IFERROR(__xludf.DUMMYFUNCTION("""COMPUTED_VALUE"""),2894042.0)</f>
        <v>2894042</v>
      </c>
      <c r="M68" s="148" t="str">
        <f>IFERROR(__xludf.DUMMYFUNCTION("""COMPUTED_VALUE"""),"Redesigning How We Work in 2021")</f>
        <v>Redesigning How We Work in 2021</v>
      </c>
      <c r="N68" s="147" t="str">
        <f>IFERROR(__xludf.DUMMYFUNCTION("""COMPUTED_VALUE"""),"General")</f>
        <v>General</v>
      </c>
      <c r="O68" s="141" t="str">
        <f>IFERROR(__xludf.DUMMYFUNCTION("""COMPUTED_VALUE"""),"General")</f>
        <v>General</v>
      </c>
      <c r="P68" s="143">
        <f>IFERROR(__xludf.DUMMYFUNCTION("""COMPUTED_VALUE"""),0.021527777777777778)</f>
        <v>0.02152777778</v>
      </c>
      <c r="Q68" s="151"/>
      <c r="R68" s="140"/>
      <c r="S68" s="140"/>
    </row>
    <row r="69" ht="33.75" customHeight="1">
      <c r="A69" s="140"/>
      <c r="B69" s="140"/>
      <c r="C69" s="147"/>
      <c r="D69" s="153"/>
      <c r="E69" s="147"/>
      <c r="F69" s="141"/>
      <c r="G69" s="143"/>
      <c r="H69" s="151"/>
      <c r="I69" s="140"/>
      <c r="J69" s="140"/>
      <c r="K69" s="140"/>
      <c r="L69" s="147">
        <f>IFERROR(__xludf.DUMMYFUNCTION("""COMPUTED_VALUE"""),2825601.0)</f>
        <v>2825601</v>
      </c>
      <c r="M69" s="148" t="str">
        <f>IFERROR(__xludf.DUMMYFUNCTION("""COMPUTED_VALUE"""),"Creating a Connection Culture")</f>
        <v>Creating a Connection Culture</v>
      </c>
      <c r="N69" s="147" t="str">
        <f>IFERROR(__xludf.DUMMYFUNCTION("""COMPUTED_VALUE"""),"General")</f>
        <v>General</v>
      </c>
      <c r="O69" s="141" t="str">
        <f>IFERROR(__xludf.DUMMYFUNCTION("""COMPUTED_VALUE"""),"Intermediate")</f>
        <v>Intermediate</v>
      </c>
      <c r="P69" s="143">
        <f>IFERROR(__xludf.DUMMYFUNCTION("""COMPUTED_VALUE"""),0.04068287037037037)</f>
        <v>0.04068287037</v>
      </c>
      <c r="Q69" s="151"/>
      <c r="R69" s="140"/>
      <c r="S69" s="140"/>
    </row>
    <row r="70" ht="33.75" customHeight="1">
      <c r="A70" s="140"/>
      <c r="B70" s="140"/>
      <c r="C70" s="147"/>
      <c r="D70" s="153"/>
      <c r="E70" s="147"/>
      <c r="F70" s="141"/>
      <c r="G70" s="143"/>
      <c r="H70" s="151"/>
      <c r="I70" s="140"/>
      <c r="J70" s="140"/>
      <c r="K70" s="140"/>
      <c r="L70" s="147">
        <f>IFERROR(__xludf.DUMMYFUNCTION("""COMPUTED_VALUE"""),699245.0)</f>
        <v>699245</v>
      </c>
      <c r="M70" s="148" t="str">
        <f>IFERROR(__xludf.DUMMYFUNCTION("""COMPUTED_VALUE"""),"Business Collaboration in the Modern Workplace")</f>
        <v>Business Collaboration in the Modern Workplace</v>
      </c>
      <c r="N70" s="147" t="str">
        <f>IFERROR(__xludf.DUMMYFUNCTION("""COMPUTED_VALUE"""),"General")</f>
        <v>General</v>
      </c>
      <c r="O70" s="141" t="str">
        <f>IFERROR(__xludf.DUMMYFUNCTION("""COMPUTED_VALUE"""),"Intermediate")</f>
        <v>Intermediate</v>
      </c>
      <c r="P70" s="143">
        <f>IFERROR(__xludf.DUMMYFUNCTION("""COMPUTED_VALUE"""),0.06519675925925926)</f>
        <v>0.06519675926</v>
      </c>
      <c r="Q70" s="151"/>
      <c r="R70" s="140"/>
      <c r="S70" s="140"/>
    </row>
    <row r="71" ht="33.75" customHeight="1">
      <c r="A71" s="140"/>
      <c r="B71" s="140"/>
      <c r="C71" s="147"/>
      <c r="D71" s="153"/>
      <c r="E71" s="147"/>
      <c r="F71" s="141"/>
      <c r="G71" s="143"/>
      <c r="H71" s="151"/>
      <c r="I71" s="140"/>
      <c r="J71" s="140"/>
      <c r="K71" s="140"/>
      <c r="L71" s="147">
        <f>IFERROR(__xludf.DUMMYFUNCTION("""COMPUTED_VALUE"""),2813182.0)</f>
        <v>2813182</v>
      </c>
      <c r="M71" s="148" t="str">
        <f>IFERROR(__xludf.DUMMYFUNCTION("""COMPUTED_VALUE"""),"Grit: How Teams Persevere to Accomplish Great Goals")</f>
        <v>Grit: How Teams Persevere to Accomplish Great Goals</v>
      </c>
      <c r="N71" s="147" t="str">
        <f>IFERROR(__xludf.DUMMYFUNCTION("""COMPUTED_VALUE"""),"General")</f>
        <v>General</v>
      </c>
      <c r="O71" s="141" t="str">
        <f>IFERROR(__xludf.DUMMYFUNCTION("""COMPUTED_VALUE"""),"Intermediate")</f>
        <v>Intermediate</v>
      </c>
      <c r="P71" s="143">
        <f>IFERROR(__xludf.DUMMYFUNCTION("""COMPUTED_VALUE"""),0.018692129629629628)</f>
        <v>0.01869212963</v>
      </c>
      <c r="Q71" s="151"/>
      <c r="R71" s="140"/>
      <c r="S71" s="140"/>
    </row>
    <row r="72" ht="33.75" customHeight="1">
      <c r="A72" s="140"/>
      <c r="B72" s="140"/>
      <c r="C72" s="147"/>
      <c r="D72" s="153"/>
      <c r="E72" s="147"/>
      <c r="F72" s="141"/>
      <c r="G72" s="143"/>
      <c r="H72" s="151"/>
      <c r="I72" s="140"/>
      <c r="J72" s="140"/>
      <c r="K72" s="140"/>
      <c r="L72" s="147">
        <f>IFERROR(__xludf.DUMMYFUNCTION("""COMPUTED_VALUE"""),2822684.0)</f>
        <v>2822684</v>
      </c>
      <c r="M72" s="148" t="str">
        <f>IFERROR(__xludf.DUMMYFUNCTION("""COMPUTED_VALUE"""),"Empathy at Work")</f>
        <v>Empathy at Work</v>
      </c>
      <c r="N72" s="147" t="str">
        <f>IFERROR(__xludf.DUMMYFUNCTION("""COMPUTED_VALUE"""),"General")</f>
        <v>General</v>
      </c>
      <c r="O72" s="141" t="str">
        <f>IFERROR(__xludf.DUMMYFUNCTION("""COMPUTED_VALUE"""),"General")</f>
        <v>General</v>
      </c>
      <c r="P72" s="143">
        <f>IFERROR(__xludf.DUMMYFUNCTION("""COMPUTED_VALUE"""),0.03328703703703704)</f>
        <v>0.03328703704</v>
      </c>
      <c r="Q72" s="151"/>
      <c r="R72" s="140"/>
      <c r="S72" s="140"/>
    </row>
    <row r="73" ht="33.75" customHeight="1">
      <c r="A73" s="140"/>
      <c r="B73" s="140"/>
      <c r="C73" s="147"/>
      <c r="D73" s="153"/>
      <c r="E73" s="147"/>
      <c r="F73" s="141"/>
      <c r="G73" s="143"/>
      <c r="H73" s="151"/>
      <c r="I73" s="140"/>
      <c r="J73" s="140"/>
      <c r="K73" s="140"/>
      <c r="L73" s="147">
        <f>IFERROR(__xludf.DUMMYFUNCTION("""COMPUTED_VALUE"""),2895101.0)</f>
        <v>2895101</v>
      </c>
      <c r="M73" s="148" t="str">
        <f>IFERROR(__xludf.DUMMYFUNCTION("""COMPUTED_VALUE"""),"Developing Business Partnerships")</f>
        <v>Developing Business Partnerships</v>
      </c>
      <c r="N73" s="147" t="str">
        <f>IFERROR(__xludf.DUMMYFUNCTION("""COMPUTED_VALUE"""),"General")</f>
        <v>General</v>
      </c>
      <c r="O73" s="141" t="str">
        <f>IFERROR(__xludf.DUMMYFUNCTION("""COMPUTED_VALUE"""),"Intermediate")</f>
        <v>Intermediate</v>
      </c>
      <c r="P73" s="143">
        <f>IFERROR(__xludf.DUMMYFUNCTION("""COMPUTED_VALUE"""),0.037766203703703705)</f>
        <v>0.0377662037</v>
      </c>
      <c r="Q73" s="151"/>
      <c r="R73" s="140"/>
      <c r="S73" s="140"/>
    </row>
    <row r="74" ht="33.75" customHeight="1">
      <c r="A74" s="140"/>
      <c r="B74" s="140"/>
      <c r="C74" s="147"/>
      <c r="D74" s="153"/>
      <c r="E74" s="147"/>
      <c r="F74" s="141"/>
      <c r="G74" s="143"/>
      <c r="H74" s="151"/>
      <c r="I74" s="140"/>
      <c r="J74" s="140"/>
      <c r="K74" s="140"/>
      <c r="L74" s="147"/>
      <c r="M74" s="153"/>
      <c r="N74" s="147"/>
      <c r="O74" s="141"/>
      <c r="P74" s="141"/>
      <c r="Q74" s="151"/>
      <c r="R74" s="140"/>
      <c r="S74" s="140"/>
    </row>
    <row r="75" ht="33.75" customHeight="1">
      <c r="A75" s="140"/>
      <c r="B75" s="140"/>
      <c r="C75" s="147"/>
      <c r="D75" s="153"/>
      <c r="E75" s="147"/>
      <c r="F75" s="141"/>
      <c r="G75" s="143"/>
      <c r="H75" s="151"/>
      <c r="I75" s="140"/>
      <c r="J75" s="140"/>
      <c r="K75" s="140"/>
      <c r="L75" s="147"/>
      <c r="M75" s="153"/>
      <c r="N75" s="147"/>
      <c r="O75" s="141"/>
      <c r="P75" s="141"/>
      <c r="Q75" s="151"/>
      <c r="R75" s="140"/>
      <c r="S75" s="140"/>
    </row>
    <row r="76" ht="33.75" customHeight="1">
      <c r="A76" s="140"/>
      <c r="B76" s="140"/>
      <c r="C76" s="147"/>
      <c r="D76" s="153"/>
      <c r="E76" s="147"/>
      <c r="F76" s="141"/>
      <c r="G76" s="143"/>
      <c r="H76" s="151"/>
      <c r="I76" s="140"/>
      <c r="J76" s="140"/>
      <c r="K76" s="140"/>
      <c r="L76" s="147"/>
      <c r="M76" s="153"/>
      <c r="N76" s="147"/>
      <c r="O76" s="141"/>
      <c r="P76" s="141"/>
      <c r="Q76" s="151"/>
      <c r="R76" s="140"/>
      <c r="S76" s="140"/>
    </row>
    <row r="77" ht="33.75" customHeight="1">
      <c r="A77" s="140"/>
      <c r="B77" s="140"/>
      <c r="C77" s="147"/>
      <c r="D77" s="153"/>
      <c r="E77" s="147"/>
      <c r="F77" s="141"/>
      <c r="G77" s="143"/>
      <c r="H77" s="151"/>
      <c r="I77" s="140"/>
      <c r="J77" s="140"/>
      <c r="K77" s="140"/>
      <c r="L77" s="147"/>
      <c r="M77" s="153"/>
      <c r="N77" s="147"/>
      <c r="O77" s="141"/>
      <c r="P77" s="141"/>
      <c r="Q77" s="151"/>
      <c r="R77" s="140"/>
      <c r="S77" s="140"/>
    </row>
    <row r="78">
      <c r="A78" s="140"/>
      <c r="B78" s="140"/>
      <c r="C78" s="147"/>
      <c r="D78" s="153"/>
      <c r="E78" s="147"/>
      <c r="F78" s="141"/>
      <c r="G78" s="143"/>
      <c r="H78" s="151"/>
      <c r="I78" s="140"/>
      <c r="J78" s="140"/>
      <c r="K78" s="140"/>
      <c r="L78" s="147"/>
      <c r="M78" s="153"/>
      <c r="N78" s="147"/>
      <c r="O78" s="141"/>
      <c r="P78" s="141"/>
      <c r="Q78" s="151"/>
      <c r="R78" s="140"/>
      <c r="S78" s="140"/>
    </row>
    <row r="79">
      <c r="A79" s="140"/>
      <c r="B79" s="140"/>
      <c r="C79" s="147"/>
      <c r="D79" s="153"/>
      <c r="E79" s="147"/>
      <c r="F79" s="141"/>
      <c r="G79" s="143"/>
      <c r="H79" s="151"/>
      <c r="I79" s="140"/>
      <c r="J79" s="140"/>
      <c r="K79" s="140"/>
      <c r="L79" s="147"/>
      <c r="M79" s="153"/>
      <c r="N79" s="147"/>
      <c r="O79" s="141"/>
      <c r="P79" s="141"/>
      <c r="Q79" s="151"/>
      <c r="R79" s="140"/>
      <c r="S79" s="140"/>
    </row>
    <row r="80">
      <c r="A80" s="140"/>
      <c r="B80" s="140"/>
      <c r="C80" s="147"/>
      <c r="D80" s="153"/>
      <c r="E80" s="147"/>
      <c r="F80" s="141"/>
      <c r="G80" s="143"/>
      <c r="H80" s="151"/>
      <c r="I80" s="140"/>
      <c r="J80" s="140"/>
      <c r="K80" s="140"/>
      <c r="L80" s="147"/>
      <c r="M80" s="153"/>
      <c r="N80" s="147"/>
      <c r="O80" s="141"/>
      <c r="P80" s="141"/>
      <c r="Q80" s="151"/>
      <c r="R80" s="140"/>
      <c r="S80" s="140"/>
    </row>
    <row r="81">
      <c r="A81" s="154"/>
      <c r="B81" s="154"/>
      <c r="C81" s="147"/>
      <c r="D81" s="153"/>
      <c r="E81" s="147"/>
      <c r="F81" s="141"/>
      <c r="G81" s="143"/>
      <c r="H81" s="151"/>
      <c r="I81" s="154"/>
      <c r="J81" s="154"/>
      <c r="K81" s="154"/>
      <c r="L81" s="147"/>
      <c r="M81" s="153"/>
      <c r="N81" s="147"/>
      <c r="O81" s="141"/>
      <c r="P81" s="141"/>
      <c r="Q81" s="151"/>
      <c r="R81" s="154"/>
      <c r="S81" s="154"/>
    </row>
    <row r="82">
      <c r="A82" s="154"/>
      <c r="B82" s="154"/>
      <c r="C82" s="147"/>
      <c r="D82" s="153"/>
      <c r="E82" s="147"/>
      <c r="F82" s="141"/>
      <c r="G82" s="143"/>
      <c r="H82" s="151"/>
      <c r="I82" s="154"/>
      <c r="J82" s="154"/>
      <c r="K82" s="154"/>
      <c r="L82" s="147"/>
      <c r="M82" s="153"/>
      <c r="N82" s="147"/>
      <c r="O82" s="141"/>
      <c r="P82" s="141"/>
      <c r="Q82" s="151"/>
      <c r="R82" s="154"/>
      <c r="S82" s="154"/>
    </row>
    <row r="83">
      <c r="A83" s="154"/>
      <c r="B83" s="154"/>
      <c r="C83" s="147"/>
      <c r="D83" s="153"/>
      <c r="E83" s="147"/>
      <c r="F83" s="141"/>
      <c r="G83" s="143"/>
      <c r="H83" s="151"/>
      <c r="I83" s="154"/>
      <c r="J83" s="154"/>
      <c r="K83" s="154"/>
      <c r="L83" s="147"/>
      <c r="M83" s="153"/>
      <c r="N83" s="147"/>
      <c r="O83" s="141"/>
      <c r="P83" s="141"/>
      <c r="Q83" s="151"/>
      <c r="R83" s="154"/>
      <c r="S83" s="154"/>
    </row>
    <row r="84">
      <c r="A84" s="154"/>
      <c r="B84" s="154"/>
      <c r="C84" s="147"/>
      <c r="D84" s="153"/>
      <c r="E84" s="147"/>
      <c r="F84" s="141"/>
      <c r="G84" s="143"/>
      <c r="H84" s="151"/>
      <c r="I84" s="154"/>
      <c r="J84" s="154"/>
      <c r="K84" s="154"/>
      <c r="L84" s="147"/>
      <c r="M84" s="153"/>
      <c r="N84" s="147"/>
      <c r="O84" s="141"/>
      <c r="P84" s="141"/>
      <c r="Q84" s="151"/>
      <c r="R84" s="154"/>
      <c r="S84" s="154"/>
    </row>
    <row r="85">
      <c r="A85" s="154"/>
      <c r="B85" s="154"/>
      <c r="C85" s="147"/>
      <c r="D85" s="153"/>
      <c r="E85" s="147"/>
      <c r="F85" s="141"/>
      <c r="G85" s="143"/>
      <c r="H85" s="151"/>
      <c r="I85" s="154"/>
      <c r="J85" s="154"/>
      <c r="K85" s="154"/>
      <c r="L85" s="147"/>
      <c r="M85" s="153"/>
      <c r="N85" s="147"/>
      <c r="O85" s="141"/>
      <c r="P85" s="141"/>
      <c r="Q85" s="151"/>
      <c r="R85" s="154"/>
      <c r="S85" s="154"/>
    </row>
    <row r="86">
      <c r="A86" s="154"/>
      <c r="B86" s="154"/>
      <c r="C86" s="147"/>
      <c r="D86" s="153"/>
      <c r="E86" s="147"/>
      <c r="F86" s="141"/>
      <c r="G86" s="143"/>
      <c r="H86" s="151"/>
      <c r="I86" s="154"/>
      <c r="J86" s="154"/>
      <c r="K86" s="154"/>
      <c r="L86" s="147"/>
      <c r="M86" s="153"/>
      <c r="N86" s="147"/>
      <c r="O86" s="141"/>
      <c r="P86" s="141"/>
      <c r="Q86" s="151"/>
      <c r="R86" s="154"/>
      <c r="S86" s="154"/>
    </row>
    <row r="87">
      <c r="A87" s="154"/>
      <c r="B87" s="154"/>
      <c r="C87" s="147"/>
      <c r="D87" s="153"/>
      <c r="E87" s="147"/>
      <c r="F87" s="141"/>
      <c r="G87" s="143"/>
      <c r="H87" s="151"/>
      <c r="I87" s="154"/>
      <c r="J87" s="154"/>
      <c r="K87" s="154"/>
      <c r="L87" s="147"/>
      <c r="M87" s="153"/>
      <c r="N87" s="147"/>
      <c r="O87" s="141"/>
      <c r="P87" s="141"/>
      <c r="Q87" s="151"/>
      <c r="R87" s="154"/>
      <c r="S87" s="154"/>
    </row>
    <row r="88">
      <c r="A88" s="154"/>
      <c r="B88" s="154"/>
      <c r="C88" s="147"/>
      <c r="D88" s="153"/>
      <c r="E88" s="147"/>
      <c r="F88" s="141"/>
      <c r="G88" s="143"/>
      <c r="H88" s="151"/>
      <c r="I88" s="154"/>
      <c r="J88" s="154"/>
      <c r="K88" s="154"/>
      <c r="L88" s="147"/>
      <c r="M88" s="153"/>
      <c r="N88" s="147"/>
      <c r="O88" s="141"/>
      <c r="P88" s="141"/>
      <c r="Q88" s="151"/>
      <c r="R88" s="154"/>
      <c r="S88" s="154"/>
    </row>
    <row r="89">
      <c r="A89" s="154"/>
      <c r="B89" s="154"/>
      <c r="C89" s="147"/>
      <c r="D89" s="153"/>
      <c r="E89" s="147"/>
      <c r="F89" s="141"/>
      <c r="G89" s="141"/>
      <c r="H89" s="151"/>
      <c r="I89" s="154"/>
      <c r="J89" s="154"/>
      <c r="K89" s="154"/>
      <c r="L89" s="147"/>
      <c r="M89" s="153"/>
      <c r="N89" s="147"/>
      <c r="O89" s="141"/>
      <c r="P89" s="141"/>
      <c r="Q89" s="151"/>
      <c r="R89" s="154"/>
      <c r="S89" s="154"/>
    </row>
  </sheetData>
  <mergeCells count="6">
    <mergeCell ref="C1:H1"/>
    <mergeCell ref="L1:Q1"/>
    <mergeCell ref="C2:H2"/>
    <mergeCell ref="L2:Q2"/>
    <mergeCell ref="C3:H3"/>
    <mergeCell ref="L3:Q3"/>
  </mergeCells>
  <dataValidations>
    <dataValidation type="list" allowBlank="1" showErrorMessage="1" sqref="A1:C1 I1:L1 R1:S1">
      <formula1>'All Competencies'!$A$3:$A89</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Q9"/>
    <hyperlink r:id="rId21" ref="D10"/>
    <hyperlink r:id="rId22" ref="H10"/>
    <hyperlink r:id="rId23" ref="M10"/>
    <hyperlink r:id="rId24" ref="Q10"/>
    <hyperlink r:id="rId25" ref="D11"/>
    <hyperlink r:id="rId26" ref="M11"/>
    <hyperlink r:id="rId27" ref="D12"/>
    <hyperlink r:id="rId28" ref="M12"/>
    <hyperlink r:id="rId29" ref="D13"/>
    <hyperlink r:id="rId30" ref="M13"/>
    <hyperlink r:id="rId31" ref="D14"/>
    <hyperlink r:id="rId32" ref="M14"/>
    <hyperlink r:id="rId33" ref="D15"/>
    <hyperlink r:id="rId34" ref="M15"/>
    <hyperlink r:id="rId35" ref="D16"/>
    <hyperlink r:id="rId36" ref="M16"/>
    <hyperlink r:id="rId37" ref="D17"/>
    <hyperlink r:id="rId38" ref="M17"/>
    <hyperlink r:id="rId39" ref="D18"/>
    <hyperlink r:id="rId40" ref="M18"/>
    <hyperlink r:id="rId41" ref="D19"/>
    <hyperlink r:id="rId42" ref="M19"/>
    <hyperlink r:id="rId43" ref="D20"/>
    <hyperlink r:id="rId44" ref="M20"/>
    <hyperlink r:id="rId45" ref="D21"/>
    <hyperlink r:id="rId46" ref="M21"/>
    <hyperlink r:id="rId47" ref="D22"/>
    <hyperlink r:id="rId48" ref="M22"/>
    <hyperlink r:id="rId49" ref="D23"/>
    <hyperlink r:id="rId50" ref="M23"/>
    <hyperlink r:id="rId51" ref="D24"/>
    <hyperlink r:id="rId52" ref="M24"/>
    <hyperlink r:id="rId53" ref="D25"/>
    <hyperlink r:id="rId54" ref="M25"/>
    <hyperlink r:id="rId55" ref="D26"/>
    <hyperlink r:id="rId56" ref="M26"/>
    <hyperlink r:id="rId57" ref="D27"/>
    <hyperlink r:id="rId58" ref="M27"/>
    <hyperlink r:id="rId59" ref="D28"/>
    <hyperlink r:id="rId60" ref="M28"/>
    <hyperlink r:id="rId61" ref="D29"/>
    <hyperlink r:id="rId62" ref="M29"/>
    <hyperlink r:id="rId63" ref="D30"/>
    <hyperlink r:id="rId64" ref="M30"/>
    <hyperlink r:id="rId65" ref="D31"/>
    <hyperlink r:id="rId66" ref="M31"/>
    <hyperlink r:id="rId67" ref="D32"/>
    <hyperlink r:id="rId68" ref="M32"/>
    <hyperlink r:id="rId69" ref="D33"/>
    <hyperlink r:id="rId70" ref="M33"/>
    <hyperlink r:id="rId71" ref="D34"/>
    <hyperlink r:id="rId72" ref="M34"/>
    <hyperlink r:id="rId73" ref="D35"/>
    <hyperlink r:id="rId74" ref="M35"/>
    <hyperlink r:id="rId75" ref="D36"/>
    <hyperlink r:id="rId76" ref="M36"/>
    <hyperlink r:id="rId77" ref="D37"/>
    <hyperlink r:id="rId78" ref="M37"/>
    <hyperlink r:id="rId79" ref="D38"/>
    <hyperlink r:id="rId80" ref="M38"/>
    <hyperlink r:id="rId81" ref="D39"/>
    <hyperlink r:id="rId82" ref="M39"/>
    <hyperlink r:id="rId83" ref="D40"/>
    <hyperlink r:id="rId84" ref="M40"/>
    <hyperlink r:id="rId85" ref="D41"/>
    <hyperlink r:id="rId86" ref="M41"/>
    <hyperlink r:id="rId87" ref="D42"/>
    <hyperlink r:id="rId88" ref="M42"/>
    <hyperlink r:id="rId89" ref="D43"/>
    <hyperlink r:id="rId90" ref="M43"/>
    <hyperlink r:id="rId91" ref="D44"/>
    <hyperlink r:id="rId92" ref="M44"/>
    <hyperlink r:id="rId93" ref="D45"/>
    <hyperlink r:id="rId94" ref="M45"/>
    <hyperlink r:id="rId95" ref="D46"/>
    <hyperlink r:id="rId96" ref="M46"/>
    <hyperlink r:id="rId97" ref="D47"/>
    <hyperlink r:id="rId98" ref="M47"/>
    <hyperlink r:id="rId99" ref="D48"/>
    <hyperlink r:id="rId100" ref="M48"/>
    <hyperlink r:id="rId101" ref="D49"/>
    <hyperlink r:id="rId102" ref="M49"/>
    <hyperlink r:id="rId103" ref="D50"/>
    <hyperlink r:id="rId104" ref="M50"/>
    <hyperlink r:id="rId105" ref="D51"/>
    <hyperlink r:id="rId106" ref="M51"/>
    <hyperlink r:id="rId107" ref="D52"/>
    <hyperlink r:id="rId108" ref="M52"/>
    <hyperlink r:id="rId109" ref="D53"/>
    <hyperlink r:id="rId110" ref="M53"/>
    <hyperlink r:id="rId111" ref="D54"/>
    <hyperlink r:id="rId112" ref="M54"/>
    <hyperlink r:id="rId113" ref="D55"/>
    <hyperlink r:id="rId114" ref="M55"/>
    <hyperlink r:id="rId115" ref="D56"/>
    <hyperlink r:id="rId116" ref="M56"/>
    <hyperlink r:id="rId117" ref="D57"/>
    <hyperlink r:id="rId118" ref="M57"/>
    <hyperlink r:id="rId119" ref="D58"/>
    <hyperlink r:id="rId120" ref="M58"/>
    <hyperlink r:id="rId121" ref="D59"/>
    <hyperlink r:id="rId122" ref="M59"/>
    <hyperlink r:id="rId123" ref="D60"/>
    <hyperlink r:id="rId124" ref="M60"/>
    <hyperlink r:id="rId125" ref="D61"/>
    <hyperlink r:id="rId126" ref="M61"/>
    <hyperlink r:id="rId127" ref="D62"/>
    <hyperlink r:id="rId128" ref="M62"/>
    <hyperlink r:id="rId129" ref="D63"/>
    <hyperlink r:id="rId130" ref="M63"/>
    <hyperlink r:id="rId131" ref="D64"/>
    <hyperlink r:id="rId132" ref="M64"/>
    <hyperlink r:id="rId133" ref="D65"/>
    <hyperlink r:id="rId134" ref="M65"/>
    <hyperlink r:id="rId135" ref="D66"/>
    <hyperlink r:id="rId136" ref="M66"/>
    <hyperlink r:id="rId137" ref="D67"/>
    <hyperlink r:id="rId138" ref="M67"/>
    <hyperlink r:id="rId139" ref="D68"/>
    <hyperlink r:id="rId140" ref="M68"/>
    <hyperlink r:id="rId141" ref="M69"/>
    <hyperlink r:id="rId142" ref="M70"/>
    <hyperlink r:id="rId143" ref="M71"/>
    <hyperlink r:id="rId144" ref="M72"/>
    <hyperlink r:id="rId145" ref="M73"/>
  </hyperlinks>
  <drawing r:id="rId146"/>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20.13"/>
    <col customWidth="1" min="6" max="6" width="22.38"/>
    <col customWidth="1" min="7" max="7" width="11.38"/>
    <col customWidth="1" min="8" max="8" width="43.88"/>
    <col customWidth="1" min="9" max="11" width="0.63"/>
    <col customWidth="1" min="12" max="12" width="11.88"/>
    <col customWidth="1" min="13" max="13" width="48.0"/>
    <col customWidth="1" min="14" max="14" width="20.13"/>
    <col customWidth="1" min="15" max="15" width="22.38"/>
    <col customWidth="1" min="16" max="16" width="11.38"/>
    <col customWidth="1" min="17" max="17" width="43.88"/>
    <col customWidth="1" min="18" max="19" width="0.63"/>
  </cols>
  <sheetData>
    <row r="1" ht="27.75" customHeight="1" outlineLevel="1">
      <c r="A1" s="130"/>
      <c r="B1" s="130"/>
      <c r="C1" s="131" t="s">
        <v>290</v>
      </c>
      <c r="I1" s="130"/>
      <c r="J1" s="130"/>
      <c r="K1" s="130"/>
      <c r="L1" s="131" t="s">
        <v>397</v>
      </c>
      <c r="R1" s="130"/>
      <c r="S1" s="130"/>
    </row>
    <row r="2" outlineLevel="1">
      <c r="A2" s="132"/>
      <c r="B2" s="132"/>
      <c r="C2" s="133" t="s">
        <v>1986</v>
      </c>
      <c r="I2" s="132"/>
      <c r="J2" s="132"/>
      <c r="K2" s="132"/>
      <c r="L2" s="133" t="s">
        <v>1986</v>
      </c>
      <c r="R2" s="132"/>
      <c r="S2" s="132"/>
    </row>
    <row r="3" ht="45.0" customHeight="1" outlineLevel="1">
      <c r="A3" s="134"/>
      <c r="B3" s="134"/>
      <c r="C3" s="135" t="str">
        <f>IFERROR(__xludf.DUMMYFUNCTION("IFERROR(UNIQUE(FILTER('Competency Learning Paths'!N:N,'Competency Learning Paths'!A:A= C1)))"),"Communicates Effectively, Communication, Interpersonal Savvy, Influencing Others, Oral Communication, Interpersonal Communication, Organizational Communication, Listening")</f>
        <v>Communicates Effectively, Communication, Interpersonal Savvy, Influencing Others, Oral Communication, Interpersonal Communication, Organizational Communication, Listening</v>
      </c>
      <c r="I3" s="134"/>
      <c r="J3" s="134"/>
      <c r="K3" s="134"/>
      <c r="L3" s="135" t="str">
        <f>IFERROR(__xludf.DUMMYFUNCTION("IFERROR(UNIQUE(FILTER('Competency Learning Paths'!N:N,'Competency Learning Paths'!A:A= L1)))"),"Conflict Management, Conflict Resolution, Managing Conflict, Confronting Direct Reports")</f>
        <v>Conflict Management, Conflict Resolution, Managing Conflict, Confronting Direct Reports</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IFERROR(__xludf.DUMMYFUNCTION("""COMPUTED_VALUE"""),797722.0)</f>
        <v>797722</v>
      </c>
      <c r="D5" s="142" t="str">
        <f>IFERROR(__xludf.DUMMYFUNCTION("""COMPUTED_VALUE"""),"Doing Good to Build a Profitable Business")</f>
        <v>Doing Good to Build a Profitable Business</v>
      </c>
      <c r="E5" s="141" t="str">
        <f>IFERROR(__xludf.DUMMYFUNCTION("""COMPUTED_VALUE"""),"C-Suite")</f>
        <v>C-Suite</v>
      </c>
      <c r="F5" s="141" t="str">
        <f>IFERROR(__xludf.DUMMYFUNCTION("""COMPUTED_VALUE"""),"Intermediate")</f>
        <v>Intermediate</v>
      </c>
      <c r="G5" s="143">
        <f>IFERROR(__xludf.DUMMYFUNCTION("""COMPUTED_VALUE"""),0.030983796296296297)</f>
        <v>0.0309837963</v>
      </c>
      <c r="H5" s="144" t="str">
        <f>IFERROR(__xludf.DUMMYFUNCTION("""COMPUTED_VALUE"""),"Communicating during Times of Change")</f>
        <v>Communicating during Times of Change</v>
      </c>
      <c r="I5" s="140"/>
      <c r="J5" s="140"/>
      <c r="K5" s="140"/>
      <c r="L5" s="141">
        <f>IFERROR(__xludf.DUMMYFUNCTION("""COMPUTED_VALUE"""),664804.0)</f>
        <v>664804</v>
      </c>
      <c r="M5" s="145" t="str">
        <f>IFERROR(__xludf.DUMMYFUNCTION("""COMPUTED_VALUE"""),"Managing in Difficult Times")</f>
        <v>Managing in Difficult Times</v>
      </c>
      <c r="N5" s="141" t="str">
        <f>IFERROR(__xludf.DUMMYFUNCTION("""COMPUTED_VALUE"""),"C-Suite")</f>
        <v>C-Suite</v>
      </c>
      <c r="O5" s="141" t="str">
        <f>IFERROR(__xludf.DUMMYFUNCTION("""COMPUTED_VALUE"""),"Intermediate")</f>
        <v>Intermediate</v>
      </c>
      <c r="P5" s="146">
        <f>IFERROR(__xludf.DUMMYFUNCTION("""COMPUTED_VALUE"""),0.04708333333333333)</f>
        <v>0.04708333333</v>
      </c>
      <c r="Q5" s="144" t="str">
        <f>IFERROR(__xludf.DUMMYFUNCTION("""COMPUTED_VALUE"""),"Develop Conflict Management and Resolution Skills ")</f>
        <v>Develop Conflict Management and Resolution Skills </v>
      </c>
      <c r="R5" s="140"/>
      <c r="S5" s="140"/>
    </row>
    <row r="6" ht="33.75" customHeight="1">
      <c r="A6" s="140"/>
      <c r="B6" s="140"/>
      <c r="C6" s="147">
        <f>IFERROR(__xludf.DUMMYFUNCTION("""COMPUTED_VALUE"""),693111.0)</f>
        <v>693111</v>
      </c>
      <c r="D6" s="148" t="str">
        <f>IFERROR(__xludf.DUMMYFUNCTION("""COMPUTED_VALUE"""),"CMO Foundations: Creating a Marketing Culture")</f>
        <v>CMO Foundations: Creating a Marketing Culture</v>
      </c>
      <c r="E6" s="147" t="str">
        <f>IFERROR(__xludf.DUMMYFUNCTION("""COMPUTED_VALUE"""),"C-Suite")</f>
        <v>C-Suite</v>
      </c>
      <c r="F6" s="141" t="str">
        <f>IFERROR(__xludf.DUMMYFUNCTION("""COMPUTED_VALUE"""),"Advanced")</f>
        <v>Advanced</v>
      </c>
      <c r="G6" s="143">
        <f>IFERROR(__xludf.DUMMYFUNCTION("""COMPUTED_VALUE"""),0.04199074074074074)</f>
        <v>0.04199074074</v>
      </c>
      <c r="H6" s="149" t="str">
        <f>IFERROR(__xludf.DUMMYFUNCTION("""COMPUTED_VALUE"""),"Create a Successful Pitch for Investors")</f>
        <v>Create a Successful Pitch for Investors</v>
      </c>
      <c r="I6" s="140"/>
      <c r="J6" s="140"/>
      <c r="K6" s="140"/>
      <c r="L6" s="147">
        <f>IFERROR(__xludf.DUMMYFUNCTION("""COMPUTED_VALUE"""),5015882.0)</f>
        <v>5015882</v>
      </c>
      <c r="M6" s="150" t="str">
        <f>IFERROR(__xludf.DUMMYFUNCTION("""COMPUTED_VALUE"""),"The Hard Thing About Hard Things: Building a Business When There Are No Easy Answers (Blinkist Summary)")</f>
        <v>The Hard Thing About Hard Things: Building a Business When There Are No Easy Answers (Blinkist Summary)</v>
      </c>
      <c r="N6" s="147" t="str">
        <f>IFERROR(__xludf.DUMMYFUNCTION("""COMPUTED_VALUE"""),"C-Suite")</f>
        <v>C-Suite</v>
      </c>
      <c r="O6" s="141" t="str">
        <f>IFERROR(__xludf.DUMMYFUNCTION("""COMPUTED_VALUE"""),"Intermediate")</f>
        <v>Intermediate</v>
      </c>
      <c r="P6" s="146">
        <f>IFERROR(__xludf.DUMMYFUNCTION("""COMPUTED_VALUE"""),0.019085648148148147)</f>
        <v>0.01908564815</v>
      </c>
      <c r="Q6" s="149" t="str">
        <f>IFERROR(__xludf.DUMMYFUNCTION("""COMPUTED_VALUE"""),"Improve Your Teamwork Skills")</f>
        <v>Improve Your Teamwork Skills</v>
      </c>
      <c r="R6" s="140"/>
      <c r="S6" s="140"/>
    </row>
    <row r="7" ht="33.75" customHeight="1">
      <c r="A7" s="140"/>
      <c r="B7" s="140"/>
      <c r="C7" s="147">
        <f>IFERROR(__xludf.DUMMYFUNCTION("""COMPUTED_VALUE"""),693107.0)</f>
        <v>693107</v>
      </c>
      <c r="D7" s="148" t="str">
        <f>IFERROR(__xludf.DUMMYFUNCTION("""COMPUTED_VALUE"""),"CMO Foundations: Working with Leadership and Board-of-Directors")</f>
        <v>CMO Foundations: Working with Leadership and Board-of-Directors</v>
      </c>
      <c r="E7" s="147" t="str">
        <f>IFERROR(__xludf.DUMMYFUNCTION("""COMPUTED_VALUE"""),"C-Suite")</f>
        <v>C-Suite</v>
      </c>
      <c r="F7" s="141" t="str">
        <f>IFERROR(__xludf.DUMMYFUNCTION("""COMPUTED_VALUE"""),"Advanced")</f>
        <v>Advanced</v>
      </c>
      <c r="G7" s="143">
        <f>IFERROR(__xludf.DUMMYFUNCTION("""COMPUTED_VALUE"""),0.033414351851851855)</f>
        <v>0.03341435185</v>
      </c>
      <c r="H7" s="149" t="str">
        <f>IFERROR(__xludf.DUMMYFUNCTION("""COMPUTED_VALUE"""),"Create and Deliver Engaging Presentations")</f>
        <v>Create and Deliver Engaging Presentations</v>
      </c>
      <c r="I7" s="140"/>
      <c r="J7" s="140"/>
      <c r="K7" s="140"/>
      <c r="L7" s="147">
        <f>IFERROR(__xludf.DUMMYFUNCTION("""COMPUTED_VALUE"""),2242042.0)</f>
        <v>2242042</v>
      </c>
      <c r="M7" s="150" t="str">
        <f>IFERROR(__xludf.DUMMYFUNCTION("""COMPUTED_VALUE"""),"Managing Conflict: A Practical Guide to Resolution in the Workplace (getAbstract Summary)")</f>
        <v>Managing Conflict: A Practical Guide to Resolution in the Workplace (getAbstract Summary)</v>
      </c>
      <c r="N7" s="147" t="str">
        <f>IFERROR(__xludf.DUMMYFUNCTION("""COMPUTED_VALUE"""),"C-Suite")</f>
        <v>C-Suite</v>
      </c>
      <c r="O7" s="141" t="str">
        <f>IFERROR(__xludf.DUMMYFUNCTION("""COMPUTED_VALUE"""),"General")</f>
        <v>General</v>
      </c>
      <c r="P7" s="146">
        <f>IFERROR(__xludf.DUMMYFUNCTION("""COMPUTED_VALUE"""),0.005914351851851852)</f>
        <v>0.005914351852</v>
      </c>
      <c r="Q7" s="149" t="str">
        <f>IFERROR(__xludf.DUMMYFUNCTION("""COMPUTED_VALUE"""),"Master In-Demand Professional Soft Skills")</f>
        <v>Master In-Demand Professional Soft Skills</v>
      </c>
      <c r="R7" s="140"/>
      <c r="S7" s="140"/>
    </row>
    <row r="8" ht="33.75" customHeight="1">
      <c r="A8" s="140"/>
      <c r="B8" s="140"/>
      <c r="C8" s="147">
        <f>IFERROR(__xludf.DUMMYFUNCTION("""COMPUTED_VALUE"""),2975163.0)</f>
        <v>2975163</v>
      </c>
      <c r="D8" s="148" t="str">
        <f>IFERROR(__xludf.DUMMYFUNCTION("""COMPUTED_VALUE"""),"Crisis Communication for HR")</f>
        <v>Crisis Communication for HR</v>
      </c>
      <c r="E8" s="147" t="str">
        <f>IFERROR(__xludf.DUMMYFUNCTION("""COMPUTED_VALUE"""),"Senior Manager")</f>
        <v>Senior Manager</v>
      </c>
      <c r="F8" s="141" t="str">
        <f>IFERROR(__xludf.DUMMYFUNCTION("""COMPUTED_VALUE"""),"Advanced")</f>
        <v>Advanced</v>
      </c>
      <c r="G8" s="143">
        <f>IFERROR(__xludf.DUMMYFUNCTION("""COMPUTED_VALUE"""),0.020300925925925927)</f>
        <v>0.02030092593</v>
      </c>
      <c r="H8" s="149" t="str">
        <f>IFERROR(__xludf.DUMMYFUNCTION("""COMPUTED_VALUE"""),"Develop Conflict Management and Resolution Skills")</f>
        <v>Develop Conflict Management and Resolution Skills</v>
      </c>
      <c r="I8" s="140"/>
      <c r="J8" s="140"/>
      <c r="K8" s="140"/>
      <c r="L8" s="147">
        <f>IFERROR(__xludf.DUMMYFUNCTION("""COMPUTED_VALUE"""),182921.0)</f>
        <v>182921</v>
      </c>
      <c r="M8" s="150" t="str">
        <f>IFERROR(__xludf.DUMMYFUNCTION("""COMPUTED_VALUE"""),"Crisis Communication")</f>
        <v>Crisis Communication</v>
      </c>
      <c r="N8" s="147" t="str">
        <f>IFERROR(__xludf.DUMMYFUNCTION("""COMPUTED_VALUE"""),"Senior Manager")</f>
        <v>Senior Manager</v>
      </c>
      <c r="O8" s="141" t="str">
        <f>IFERROR(__xludf.DUMMYFUNCTION("""COMPUTED_VALUE"""),"Advanced")</f>
        <v>Advanced</v>
      </c>
      <c r="P8" s="146">
        <f>IFERROR(__xludf.DUMMYFUNCTION("""COMPUTED_VALUE"""),0.04356481481481481)</f>
        <v>0.04356481481</v>
      </c>
      <c r="Q8" s="149" t="str">
        <f>IFERROR(__xludf.DUMMYFUNCTION("""COMPUTED_VALUE"""),"Succeeding in Sales During Times of Volatility")</f>
        <v>Succeeding in Sales During Times of Volatility</v>
      </c>
      <c r="R8" s="140"/>
      <c r="S8" s="140"/>
    </row>
    <row r="9" ht="33.75" customHeight="1">
      <c r="A9" s="140"/>
      <c r="B9" s="140"/>
      <c r="C9" s="147">
        <f>IFERROR(__xludf.DUMMYFUNCTION("""COMPUTED_VALUE"""),5028627.0)</f>
        <v>5028627</v>
      </c>
      <c r="D9" s="148" t="str">
        <f>IFERROR(__xludf.DUMMYFUNCTION("""COMPUTED_VALUE"""),"Organizational Thought Leadership")</f>
        <v>Organizational Thought Leadership</v>
      </c>
      <c r="E9" s="147" t="str">
        <f>IFERROR(__xludf.DUMMYFUNCTION("""COMPUTED_VALUE"""),"Senior Manager")</f>
        <v>Senior Manager</v>
      </c>
      <c r="F9" s="141" t="str">
        <f>IFERROR(__xludf.DUMMYFUNCTION("""COMPUTED_VALUE"""),"Advanced")</f>
        <v>Advanced</v>
      </c>
      <c r="G9" s="143">
        <f>IFERROR(__xludf.DUMMYFUNCTION("""COMPUTED_VALUE"""),0.061064814814814815)</f>
        <v>0.06106481481</v>
      </c>
      <c r="H9" s="149" t="str">
        <f>IFERROR(__xludf.DUMMYFUNCTION("""COMPUTED_VALUE"""),"Develop, Motivate, and Retain Employees")</f>
        <v>Develop, Motivate, and Retain Employees</v>
      </c>
      <c r="I9" s="140"/>
      <c r="J9" s="140"/>
      <c r="K9" s="140"/>
      <c r="L9" s="147">
        <f>IFERROR(__xludf.DUMMYFUNCTION("""COMPUTED_VALUE"""),580624.0)</f>
        <v>580624</v>
      </c>
      <c r="M9" s="148" t="str">
        <f>IFERROR(__xludf.DUMMYFUNCTION("""COMPUTED_VALUE"""),"Communicating in Times of Change")</f>
        <v>Communicating in Times of Change</v>
      </c>
      <c r="N9" s="147" t="str">
        <f>IFERROR(__xludf.DUMMYFUNCTION("""COMPUTED_VALUE"""),"Senior Manager")</f>
        <v>Senior Manager</v>
      </c>
      <c r="O9" s="141" t="str">
        <f>IFERROR(__xludf.DUMMYFUNCTION("""COMPUTED_VALUE"""),"Intermediate")</f>
        <v>Intermediate</v>
      </c>
      <c r="P9" s="143">
        <f>IFERROR(__xludf.DUMMYFUNCTION("""COMPUTED_VALUE"""),0.03596064814814815)</f>
        <v>0.03596064815</v>
      </c>
      <c r="Q9" s="151"/>
      <c r="R9" s="140"/>
      <c r="S9" s="140"/>
    </row>
    <row r="10" ht="33.75" customHeight="1">
      <c r="A10" s="140"/>
      <c r="B10" s="140"/>
      <c r="C10" s="147">
        <f>IFERROR(__xludf.DUMMYFUNCTION("""COMPUTED_VALUE"""),2819025.0)</f>
        <v>2819025</v>
      </c>
      <c r="D10" s="148" t="str">
        <f>IFERROR(__xludf.DUMMYFUNCTION("""COMPUTED_VALUE"""),"Communicating to Drive People to Take Action")</f>
        <v>Communicating to Drive People to Take Action</v>
      </c>
      <c r="E10" s="147" t="str">
        <f>IFERROR(__xludf.DUMMYFUNCTION("""COMPUTED_VALUE"""),"Senior Manager")</f>
        <v>Senior Manager</v>
      </c>
      <c r="F10" s="141" t="str">
        <f>IFERROR(__xludf.DUMMYFUNCTION("""COMPUTED_VALUE"""),"Beginner + Intermediate")</f>
        <v>Beginner + Intermediate</v>
      </c>
      <c r="G10" s="143">
        <f>IFERROR(__xludf.DUMMYFUNCTION("""COMPUTED_VALUE"""),0.024826388888888887)</f>
        <v>0.02482638889</v>
      </c>
      <c r="H10" s="158" t="str">
        <f>IFERROR(__xludf.DUMMYFUNCTION("""COMPUTED_VALUE"""),"Develop Your Communication and Interpersonal Influence Skills")</f>
        <v>Develop Your Communication and Interpersonal Influence Skills</v>
      </c>
      <c r="I10" s="140"/>
      <c r="J10" s="140"/>
      <c r="K10" s="140"/>
      <c r="L10" s="147">
        <f>IFERROR(__xludf.DUMMYFUNCTION("""COMPUTED_VALUE"""),743145.0)</f>
        <v>743145</v>
      </c>
      <c r="M10" s="148" t="str">
        <f>IFERROR(__xludf.DUMMYFUNCTION("""COMPUTED_VALUE"""),"Reputation Risk Management")</f>
        <v>Reputation Risk Management</v>
      </c>
      <c r="N10" s="147" t="str">
        <f>IFERROR(__xludf.DUMMYFUNCTION("""COMPUTED_VALUE"""),"Senior Manager")</f>
        <v>Senior Manager</v>
      </c>
      <c r="O10" s="141" t="str">
        <f>IFERROR(__xludf.DUMMYFUNCTION("""COMPUTED_VALUE"""),"Intermediate")</f>
        <v>Intermediate</v>
      </c>
      <c r="P10" s="143">
        <f>IFERROR(__xludf.DUMMYFUNCTION("""COMPUTED_VALUE"""),0.028483796296296295)</f>
        <v>0.0284837963</v>
      </c>
      <c r="Q10" s="152"/>
      <c r="R10" s="140"/>
      <c r="S10" s="140"/>
    </row>
    <row r="11" ht="33.75" customHeight="1">
      <c r="A11" s="140"/>
      <c r="B11" s="140"/>
      <c r="C11" s="147">
        <f>IFERROR(__xludf.DUMMYFUNCTION("""COMPUTED_VALUE"""),370569.0)</f>
        <v>370569</v>
      </c>
      <c r="D11" s="148" t="str">
        <f>IFERROR(__xludf.DUMMYFUNCTION("""COMPUTED_VALUE"""),"Organization Communication")</f>
        <v>Organization Communication</v>
      </c>
      <c r="E11" s="147" t="str">
        <f>IFERROR(__xludf.DUMMYFUNCTION("""COMPUTED_VALUE"""),"Senior Manager")</f>
        <v>Senior Manager</v>
      </c>
      <c r="F11" s="141" t="str">
        <f>IFERROR(__xludf.DUMMYFUNCTION("""COMPUTED_VALUE"""),"General")</f>
        <v>General</v>
      </c>
      <c r="G11" s="143">
        <f>IFERROR(__xludf.DUMMYFUNCTION("""COMPUTED_VALUE"""),0.052569444444444446)</f>
        <v>0.05256944444</v>
      </c>
      <c r="H11" s="149" t="str">
        <f>IFERROR(__xludf.DUMMYFUNCTION("""COMPUTED_VALUE"""),"Fostering Collaboration")</f>
        <v>Fostering Collaboration</v>
      </c>
      <c r="I11" s="140"/>
      <c r="J11" s="140"/>
      <c r="K11" s="140"/>
      <c r="L11" s="147">
        <f>IFERROR(__xludf.DUMMYFUNCTION("""COMPUTED_VALUE"""),2825157.0)</f>
        <v>2825157</v>
      </c>
      <c r="M11" s="148" t="str">
        <f>IFERROR(__xludf.DUMMYFUNCTION("""COMPUTED_VALUE"""),"Difficult Situations: Solutions for Managers")</f>
        <v>Difficult Situations: Solutions for Managers</v>
      </c>
      <c r="N11" s="147" t="str">
        <f>IFERROR(__xludf.DUMMYFUNCTION("""COMPUTED_VALUE"""),"Manager")</f>
        <v>Manager</v>
      </c>
      <c r="O11" s="141" t="str">
        <f>IFERROR(__xludf.DUMMYFUNCTION("""COMPUTED_VALUE"""),"Beginner + Intermediate")</f>
        <v>Beginner + Intermediate</v>
      </c>
      <c r="P11" s="143">
        <f>IFERROR(__xludf.DUMMYFUNCTION("""COMPUTED_VALUE"""),0.046296296296296294)</f>
        <v>0.0462962963</v>
      </c>
      <c r="Q11" s="151"/>
      <c r="R11" s="140"/>
      <c r="S11" s="140"/>
    </row>
    <row r="12" ht="33.75" customHeight="1">
      <c r="A12" s="140"/>
      <c r="B12" s="140"/>
      <c r="C12" s="147">
        <f>IFERROR(__xludf.DUMMYFUNCTION("""COMPUTED_VALUE"""),376381.0)</f>
        <v>376381</v>
      </c>
      <c r="D12" s="148" t="str">
        <f>IFERROR(__xludf.DUMMYFUNCTION("""COMPUTED_VALUE"""),"Strategic Negotiation")</f>
        <v>Strategic Negotiation</v>
      </c>
      <c r="E12" s="147" t="str">
        <f>IFERROR(__xludf.DUMMYFUNCTION("""COMPUTED_VALUE"""),"Senior Manager")</f>
        <v>Senior Manager</v>
      </c>
      <c r="F12" s="141" t="str">
        <f>IFERROR(__xludf.DUMMYFUNCTION("""COMPUTED_VALUE"""),"General")</f>
        <v>General</v>
      </c>
      <c r="G12" s="143">
        <f>IFERROR(__xludf.DUMMYFUNCTION("""COMPUTED_VALUE"""),0.032824074074074075)</f>
        <v>0.03282407407</v>
      </c>
      <c r="H12" s="149" t="str">
        <f>IFERROR(__xludf.DUMMYFUNCTION("""COMPUTED_VALUE"""),"How to Engage Meaningfully in Allyship and Anti-Racism")</f>
        <v>How to Engage Meaningfully in Allyship and Anti-Racism</v>
      </c>
      <c r="I12" s="140"/>
      <c r="J12" s="140"/>
      <c r="K12" s="140"/>
      <c r="L12" s="147">
        <f>IFERROR(__xludf.DUMMYFUNCTION("""COMPUTED_VALUE"""),2241055.0)</f>
        <v>2241055</v>
      </c>
      <c r="M12" s="148" t="str">
        <f>IFERROR(__xludf.DUMMYFUNCTION("""COMPUTED_VALUE"""),"Going to Extremes: How Like Minds Unite and Divide (getAbstract Summary)")</f>
        <v>Going to Extremes: How Like Minds Unite and Divide (getAbstract Summary)</v>
      </c>
      <c r="N12" s="147" t="str">
        <f>IFERROR(__xludf.DUMMYFUNCTION("""COMPUTED_VALUE"""),"Manager")</f>
        <v>Manager</v>
      </c>
      <c r="O12" s="141" t="str">
        <f>IFERROR(__xludf.DUMMYFUNCTION("""COMPUTED_VALUE"""),"General")</f>
        <v>General</v>
      </c>
      <c r="P12" s="143">
        <f>IFERROR(__xludf.DUMMYFUNCTION("""COMPUTED_VALUE"""),0.0060185185185185185)</f>
        <v>0.006018518519</v>
      </c>
      <c r="Q12" s="151"/>
      <c r="R12" s="140"/>
      <c r="S12" s="140"/>
    </row>
    <row r="13" ht="33.75" customHeight="1">
      <c r="A13" s="140"/>
      <c r="B13" s="140"/>
      <c r="C13" s="147">
        <f>IFERROR(__xludf.DUMMYFUNCTION("""COMPUTED_VALUE"""),2811020.0)</f>
        <v>2811020</v>
      </c>
      <c r="D13" s="148" t="str">
        <f>IFERROR(__xludf.DUMMYFUNCTION("""COMPUTED_VALUE"""),"Navigating Politics as a Senior Leader")</f>
        <v>Navigating Politics as a Senior Leader</v>
      </c>
      <c r="E13" s="147" t="str">
        <f>IFERROR(__xludf.DUMMYFUNCTION("""COMPUTED_VALUE"""),"Senior Manager")</f>
        <v>Senior Manager</v>
      </c>
      <c r="F13" s="141" t="str">
        <f>IFERROR(__xludf.DUMMYFUNCTION("""COMPUTED_VALUE"""),"Intermediate")</f>
        <v>Intermediate</v>
      </c>
      <c r="G13" s="143">
        <f>IFERROR(__xludf.DUMMYFUNCTION("""COMPUTED_VALUE"""),0.022094907407407407)</f>
        <v>0.02209490741</v>
      </c>
      <c r="H13" s="158" t="str">
        <f>IFERROR(__xludf.DUMMYFUNCTION("""COMPUTED_VALUE"""),"Improve Your Interoffice Politics Skills")</f>
        <v>Improve Your Interoffice Politics Skills</v>
      </c>
      <c r="I13" s="140"/>
      <c r="J13" s="140"/>
      <c r="K13" s="140"/>
      <c r="L13" s="147">
        <f>IFERROR(__xludf.DUMMYFUNCTION("""COMPUTED_VALUE"""),656781.0)</f>
        <v>656781</v>
      </c>
      <c r="M13" s="148" t="str">
        <f>IFERROR(__xludf.DUMMYFUNCTION("""COMPUTED_VALUE"""),"Facilitation Skills for Managers and Leaders")</f>
        <v>Facilitation Skills for Managers and Leaders</v>
      </c>
      <c r="N13" s="147" t="str">
        <f>IFERROR(__xludf.DUMMYFUNCTION("""COMPUTED_VALUE"""),"Manager")</f>
        <v>Manager</v>
      </c>
      <c r="O13" s="141" t="str">
        <f>IFERROR(__xludf.DUMMYFUNCTION("""COMPUTED_VALUE"""),"Intermediate")</f>
        <v>Intermediate</v>
      </c>
      <c r="P13" s="143">
        <f>IFERROR(__xludf.DUMMYFUNCTION("""COMPUTED_VALUE"""),0.03)</f>
        <v>0.03</v>
      </c>
      <c r="Q13" s="152"/>
      <c r="R13" s="140"/>
      <c r="S13" s="140"/>
    </row>
    <row r="14" ht="33.75" customHeight="1">
      <c r="A14" s="140"/>
      <c r="B14" s="140"/>
      <c r="C14" s="147">
        <f>IFERROR(__xludf.DUMMYFUNCTION("""COMPUTED_VALUE"""),2252216.0)</f>
        <v>2252216</v>
      </c>
      <c r="D14" s="148" t="str">
        <f>IFERROR(__xludf.DUMMYFUNCTION("""COMPUTED_VALUE"""),"Leading from the Middle")</f>
        <v>Leading from the Middle</v>
      </c>
      <c r="E14" s="147" t="str">
        <f>IFERROR(__xludf.DUMMYFUNCTION("""COMPUTED_VALUE"""),"Senior Manager")</f>
        <v>Senior Manager</v>
      </c>
      <c r="F14" s="141" t="str">
        <f>IFERROR(__xludf.DUMMYFUNCTION("""COMPUTED_VALUE"""),"Intermediate")</f>
        <v>Intermediate</v>
      </c>
      <c r="G14" s="143">
        <f>IFERROR(__xludf.DUMMYFUNCTION("""COMPUTED_VALUE"""),0.03420138888888889)</f>
        <v>0.03420138889</v>
      </c>
      <c r="H14" s="149" t="str">
        <f>IFERROR(__xludf.DUMMYFUNCTION("""COMPUTED_VALUE"""),"Improve Your Teamwork Skills")</f>
        <v>Improve Your Teamwork Skills</v>
      </c>
      <c r="I14" s="140"/>
      <c r="J14" s="140"/>
      <c r="K14" s="140"/>
      <c r="L14" s="147">
        <f>IFERROR(__xludf.DUMMYFUNCTION("""COMPUTED_VALUE"""),601769.0)</f>
        <v>601769</v>
      </c>
      <c r="M14" s="148" t="str">
        <f>IFERROR(__xludf.DUMMYFUNCTION("""COMPUTED_VALUE"""),"Human Resources: Managing Employee Problems")</f>
        <v>Human Resources: Managing Employee Problems</v>
      </c>
      <c r="N14" s="147" t="str">
        <f>IFERROR(__xludf.DUMMYFUNCTION("""COMPUTED_VALUE"""),"Manager")</f>
        <v>Manager</v>
      </c>
      <c r="O14" s="141" t="str">
        <f>IFERROR(__xludf.DUMMYFUNCTION("""COMPUTED_VALUE"""),"Intermediate")</f>
        <v>Intermediate</v>
      </c>
      <c r="P14" s="143">
        <f>IFERROR(__xludf.DUMMYFUNCTION("""COMPUTED_VALUE"""),0.05277777777777778)</f>
        <v>0.05277777778</v>
      </c>
      <c r="Q14" s="151"/>
      <c r="R14" s="140"/>
      <c r="S14" s="140"/>
    </row>
    <row r="15" ht="33.75" customHeight="1">
      <c r="A15" s="140"/>
      <c r="B15" s="140"/>
      <c r="C15" s="147">
        <f>IFERROR(__xludf.DUMMYFUNCTION("""COMPUTED_VALUE"""),5028617.0)</f>
        <v>5028617</v>
      </c>
      <c r="D15" s="148" t="str">
        <f>IFERROR(__xludf.DUMMYFUNCTION("""COMPUTED_VALUE"""),"Communicating Values")</f>
        <v>Communicating Values</v>
      </c>
      <c r="E15" s="147" t="str">
        <f>IFERROR(__xludf.DUMMYFUNCTION("""COMPUTED_VALUE"""),"Senior Manager")</f>
        <v>Senior Manager</v>
      </c>
      <c r="F15" s="141" t="str">
        <f>IFERROR(__xludf.DUMMYFUNCTION("""COMPUTED_VALUE"""),"Intermediate")</f>
        <v>Intermediate</v>
      </c>
      <c r="G15" s="143">
        <f>IFERROR(__xludf.DUMMYFUNCTION("""COMPUTED_VALUE"""),0.024733796296296295)</f>
        <v>0.0247337963</v>
      </c>
      <c r="H15" s="149" t="str">
        <f>IFERROR(__xludf.DUMMYFUNCTION("""COMPUTED_VALUE"""),"Master In-Demand Professional Soft Skills")</f>
        <v>Master In-Demand Professional Soft Skills</v>
      </c>
      <c r="I15" s="140"/>
      <c r="J15" s="140"/>
      <c r="K15" s="140"/>
      <c r="L15" s="147">
        <f>IFERROR(__xludf.DUMMYFUNCTION("""COMPUTED_VALUE"""),808670.0)</f>
        <v>808670</v>
      </c>
      <c r="M15" s="148" t="str">
        <f>IFERROR(__xludf.DUMMYFUNCTION("""COMPUTED_VALUE"""),"Leading through Relationships")</f>
        <v>Leading through Relationships</v>
      </c>
      <c r="N15" s="147" t="str">
        <f>IFERROR(__xludf.DUMMYFUNCTION("""COMPUTED_VALUE"""),"Manager")</f>
        <v>Manager</v>
      </c>
      <c r="O15" s="141" t="str">
        <f>IFERROR(__xludf.DUMMYFUNCTION("""COMPUTED_VALUE"""),"Intermediate")</f>
        <v>Intermediate</v>
      </c>
      <c r="P15" s="143">
        <f>IFERROR(__xludf.DUMMYFUNCTION("""COMPUTED_VALUE"""),0.03384259259259259)</f>
        <v>0.03384259259</v>
      </c>
      <c r="Q15" s="151"/>
      <c r="R15" s="140"/>
      <c r="S15" s="140"/>
    </row>
    <row r="16" ht="33.75" customHeight="1">
      <c r="A16" s="140"/>
      <c r="B16" s="140"/>
      <c r="C16" s="147">
        <f>IFERROR(__xludf.DUMMYFUNCTION("""COMPUTED_VALUE"""),743145.0)</f>
        <v>743145</v>
      </c>
      <c r="D16" s="148" t="str">
        <f>IFERROR(__xludf.DUMMYFUNCTION("""COMPUTED_VALUE"""),"Reputation Risk Management")</f>
        <v>Reputation Risk Management</v>
      </c>
      <c r="E16" s="147" t="str">
        <f>IFERROR(__xludf.DUMMYFUNCTION("""COMPUTED_VALUE"""),"Senior Manager")</f>
        <v>Senior Manager</v>
      </c>
      <c r="F16" s="141" t="str">
        <f>IFERROR(__xludf.DUMMYFUNCTION("""COMPUTED_VALUE"""),"Intermediate")</f>
        <v>Intermediate</v>
      </c>
      <c r="G16" s="143">
        <f>IFERROR(__xludf.DUMMYFUNCTION("""COMPUTED_VALUE"""),0.028483796296296295)</f>
        <v>0.0284837963</v>
      </c>
      <c r="H16" s="149" t="str">
        <f>IFERROR(__xludf.DUMMYFUNCTION("""COMPUTED_VALUE"""),"Navigating Election Season at Work")</f>
        <v>Navigating Election Season at Work</v>
      </c>
      <c r="I16" s="140"/>
      <c r="J16" s="140"/>
      <c r="K16" s="140"/>
      <c r="L16" s="147">
        <f>IFERROR(__xludf.DUMMYFUNCTION("""COMPUTED_VALUE"""),746305.0)</f>
        <v>746305</v>
      </c>
      <c r="M16" s="148" t="str">
        <f>IFERROR(__xludf.DUMMYFUNCTION("""COMPUTED_VALUE"""),"Managing Employee Performance Problems")</f>
        <v>Managing Employee Performance Problems</v>
      </c>
      <c r="N16" s="147" t="str">
        <f>IFERROR(__xludf.DUMMYFUNCTION("""COMPUTED_VALUE"""),"Manager")</f>
        <v>Manager</v>
      </c>
      <c r="O16" s="141" t="str">
        <f>IFERROR(__xludf.DUMMYFUNCTION("""COMPUTED_VALUE"""),"Intermediate")</f>
        <v>Intermediate</v>
      </c>
      <c r="P16" s="143">
        <f>IFERROR(__xludf.DUMMYFUNCTION("""COMPUTED_VALUE"""),0.04052083333333333)</f>
        <v>0.04052083333</v>
      </c>
      <c r="Q16" s="151"/>
      <c r="R16" s="140"/>
      <c r="S16" s="140"/>
    </row>
    <row r="17" ht="33.75" customHeight="1">
      <c r="A17" s="140"/>
      <c r="B17" s="140"/>
      <c r="C17" s="147">
        <f>IFERROR(__xludf.DUMMYFUNCTION("""COMPUTED_VALUE"""),791342.0)</f>
        <v>791342</v>
      </c>
      <c r="D17" s="148" t="str">
        <f>IFERROR(__xludf.DUMMYFUNCTION("""COMPUTED_VALUE"""),"Negotiating with Agility")</f>
        <v>Negotiating with Agility</v>
      </c>
      <c r="E17" s="147" t="str">
        <f>IFERROR(__xludf.DUMMYFUNCTION("""COMPUTED_VALUE"""),"Senior Manager")</f>
        <v>Senior Manager</v>
      </c>
      <c r="F17" s="141" t="str">
        <f>IFERROR(__xludf.DUMMYFUNCTION("""COMPUTED_VALUE"""),"Intermediate")</f>
        <v>Intermediate</v>
      </c>
      <c r="G17" s="143">
        <f>IFERROR(__xludf.DUMMYFUNCTION("""COMPUTED_VALUE"""),0.047060185185185184)</f>
        <v>0.04706018519</v>
      </c>
      <c r="H17" s="149" t="str">
        <f>IFERROR(__xludf.DUMMYFUNCTION("""COMPUTED_VALUE"""),"Visual Communication for Business Professionals")</f>
        <v>Visual Communication for Business Professionals</v>
      </c>
      <c r="I17" s="140"/>
      <c r="J17" s="140"/>
      <c r="K17" s="140"/>
      <c r="L17" s="147">
        <f>IFERROR(__xludf.DUMMYFUNCTION("""COMPUTED_VALUE"""),681075.0)</f>
        <v>681075</v>
      </c>
      <c r="M17" s="148" t="str">
        <f>IFERROR(__xludf.DUMMYFUNCTION("""COMPUTED_VALUE"""),"Managing Team Conflict")</f>
        <v>Managing Team Conflict</v>
      </c>
      <c r="N17" s="147" t="str">
        <f>IFERROR(__xludf.DUMMYFUNCTION("""COMPUTED_VALUE"""),"Manager")</f>
        <v>Manager</v>
      </c>
      <c r="O17" s="141" t="str">
        <f>IFERROR(__xludf.DUMMYFUNCTION("""COMPUTED_VALUE"""),"Intermediate")</f>
        <v>Intermediate</v>
      </c>
      <c r="P17" s="143">
        <f>IFERROR(__xludf.DUMMYFUNCTION("""COMPUTED_VALUE"""),0.049166666666666664)</f>
        <v>0.04916666667</v>
      </c>
      <c r="Q17" s="151"/>
      <c r="R17" s="140"/>
      <c r="S17" s="140"/>
    </row>
    <row r="18" ht="33.75" customHeight="1">
      <c r="A18" s="140"/>
      <c r="B18" s="140"/>
      <c r="C18" s="147">
        <f>IFERROR(__xludf.DUMMYFUNCTION("""COMPUTED_VALUE"""),5022326.0)</f>
        <v>5022326</v>
      </c>
      <c r="D18" s="148" t="str">
        <f>IFERROR(__xludf.DUMMYFUNCTION("""COMPUTED_VALUE"""),"Stories Every Leader Should Tell")</f>
        <v>Stories Every Leader Should Tell</v>
      </c>
      <c r="E18" s="147" t="str">
        <f>IFERROR(__xludf.DUMMYFUNCTION("""COMPUTED_VALUE"""),"Senior Manager")</f>
        <v>Senior Manager</v>
      </c>
      <c r="F18" s="141" t="str">
        <f>IFERROR(__xludf.DUMMYFUNCTION("""COMPUTED_VALUE"""),"Intermediate")</f>
        <v>Intermediate</v>
      </c>
      <c r="G18" s="143">
        <f>IFERROR(__xludf.DUMMYFUNCTION("""COMPUTED_VALUE"""),0.031747685185185184)</f>
        <v>0.03174768519</v>
      </c>
      <c r="H18" s="151"/>
      <c r="I18" s="140"/>
      <c r="J18" s="140"/>
      <c r="K18" s="140"/>
      <c r="L18" s="147">
        <f>IFERROR(__xludf.DUMMYFUNCTION("""COMPUTED_VALUE"""),2820193.0)</f>
        <v>2820193</v>
      </c>
      <c r="M18" s="148" t="str">
        <f>IFERROR(__xludf.DUMMYFUNCTION("""COMPUTED_VALUE"""),"Having Difficult Conversations: A Guide for Managers")</f>
        <v>Having Difficult Conversations: A Guide for Managers</v>
      </c>
      <c r="N18" s="147" t="str">
        <f>IFERROR(__xludf.DUMMYFUNCTION("""COMPUTED_VALUE"""),"Manager")</f>
        <v>Manager</v>
      </c>
      <c r="O18" s="141" t="str">
        <f>IFERROR(__xludf.DUMMYFUNCTION("""COMPUTED_VALUE"""),"Intermediate")</f>
        <v>Intermediate</v>
      </c>
      <c r="P18" s="143">
        <f>IFERROR(__xludf.DUMMYFUNCTION("""COMPUTED_VALUE"""),0.04107638888888889)</f>
        <v>0.04107638889</v>
      </c>
      <c r="Q18" s="151"/>
      <c r="R18" s="140"/>
      <c r="S18" s="140"/>
    </row>
    <row r="19" ht="33.75" customHeight="1">
      <c r="A19" s="140"/>
      <c r="B19" s="140"/>
      <c r="C19" s="147">
        <f>IFERROR(__xludf.DUMMYFUNCTION("""COMPUTED_VALUE"""),696326.0)</f>
        <v>696326</v>
      </c>
      <c r="D19" s="148" t="str">
        <f>IFERROR(__xludf.DUMMYFUNCTION("""COMPUTED_VALUE"""),"Becoming a Thought Leader")</f>
        <v>Becoming a Thought Leader</v>
      </c>
      <c r="E19" s="147" t="str">
        <f>IFERROR(__xludf.DUMMYFUNCTION("""COMPUTED_VALUE"""),"Senior Manager")</f>
        <v>Senior Manager</v>
      </c>
      <c r="F19" s="141" t="str">
        <f>IFERROR(__xludf.DUMMYFUNCTION("""COMPUTED_VALUE"""),"Intermediate")</f>
        <v>Intermediate</v>
      </c>
      <c r="G19" s="143">
        <f>IFERROR(__xludf.DUMMYFUNCTION("""COMPUTED_VALUE"""),0.05327546296296296)</f>
        <v>0.05327546296</v>
      </c>
      <c r="H19" s="151"/>
      <c r="I19" s="140"/>
      <c r="J19" s="140"/>
      <c r="K19" s="140"/>
      <c r="L19" s="147">
        <f>IFERROR(__xludf.DUMMYFUNCTION("""COMPUTED_VALUE"""),5015883.0)</f>
        <v>5015883</v>
      </c>
      <c r="M19" s="148" t="str">
        <f>IFERROR(__xludf.DUMMYFUNCTION("""COMPUTED_VALUE"""),"Radical Candor (Blinkist Summary)")</f>
        <v>Radical Candor (Blinkist Summary)</v>
      </c>
      <c r="N19" s="147" t="str">
        <f>IFERROR(__xludf.DUMMYFUNCTION("""COMPUTED_VALUE"""),"Manager")</f>
        <v>Manager</v>
      </c>
      <c r="O19" s="141" t="str">
        <f>IFERROR(__xludf.DUMMYFUNCTION("""COMPUTED_VALUE"""),"Intermediate")</f>
        <v>Intermediate</v>
      </c>
      <c r="P19" s="143">
        <f>IFERROR(__xludf.DUMMYFUNCTION("""COMPUTED_VALUE"""),0.012337962962962964)</f>
        <v>0.01233796296</v>
      </c>
      <c r="Q19" s="151"/>
      <c r="R19" s="140"/>
      <c r="S19" s="140"/>
    </row>
    <row r="20" ht="33.75" customHeight="1">
      <c r="A20" s="140"/>
      <c r="B20" s="140"/>
      <c r="C20" s="147">
        <f>IFERROR(__xludf.DUMMYFUNCTION("""COMPUTED_VALUE"""),2875304.0)</f>
        <v>2875304</v>
      </c>
      <c r="D20" s="148" t="str">
        <f>IFERROR(__xludf.DUMMYFUNCTION("""COMPUTED_VALUE"""),"Taking Charge of Your Leadership Conversations")</f>
        <v>Taking Charge of Your Leadership Conversations</v>
      </c>
      <c r="E20" s="147" t="str">
        <f>IFERROR(__xludf.DUMMYFUNCTION("""COMPUTED_VALUE"""),"Senior Manager")</f>
        <v>Senior Manager</v>
      </c>
      <c r="F20" s="141" t="str">
        <f>IFERROR(__xludf.DUMMYFUNCTION("""COMPUTED_VALUE"""),"Intermediate")</f>
        <v>Intermediate</v>
      </c>
      <c r="G20" s="143">
        <f>IFERROR(__xludf.DUMMYFUNCTION("""COMPUTED_VALUE"""),0.020902777777777777)</f>
        <v>0.02090277778</v>
      </c>
      <c r="H20" s="151"/>
      <c r="I20" s="140"/>
      <c r="J20" s="140"/>
      <c r="K20" s="140"/>
      <c r="L20" s="147">
        <f>IFERROR(__xludf.DUMMYFUNCTION("""COMPUTED_VALUE"""),2870082.0)</f>
        <v>2870082</v>
      </c>
      <c r="M20" s="148" t="str">
        <f>IFERROR(__xludf.DUMMYFUNCTION("""COMPUTED_VALUE"""),"Dealing with Microaggression as an Employee")</f>
        <v>Dealing with Microaggression as an Employee</v>
      </c>
      <c r="N20" s="147" t="str">
        <f>IFERROR(__xludf.DUMMYFUNCTION("""COMPUTED_VALUE"""),"Individual Contributor")</f>
        <v>Individual Contributor</v>
      </c>
      <c r="O20" s="141" t="str">
        <f>IFERROR(__xludf.DUMMYFUNCTION("""COMPUTED_VALUE"""),"General")</f>
        <v>General</v>
      </c>
      <c r="P20" s="143">
        <f>IFERROR(__xludf.DUMMYFUNCTION("""COMPUTED_VALUE"""),0.03799768518518518)</f>
        <v>0.03799768519</v>
      </c>
      <c r="Q20" s="151"/>
      <c r="R20" s="140"/>
      <c r="S20" s="140"/>
    </row>
    <row r="21" ht="33.75" customHeight="1">
      <c r="A21" s="140"/>
      <c r="B21" s="140"/>
      <c r="C21" s="147">
        <f>IFERROR(__xludf.DUMMYFUNCTION("""COMPUTED_VALUE"""),2881075.0)</f>
        <v>2881075</v>
      </c>
      <c r="D21" s="148" t="str">
        <f>IFERROR(__xludf.DUMMYFUNCTION("""COMPUTED_VALUE"""),"Critical Thinking for More Effective Communication")</f>
        <v>Critical Thinking for More Effective Communication</v>
      </c>
      <c r="E21" s="147" t="str">
        <f>IFERROR(__xludf.DUMMYFUNCTION("""COMPUTED_VALUE"""),"Manager")</f>
        <v>Manager</v>
      </c>
      <c r="F21" s="141" t="str">
        <f>IFERROR(__xludf.DUMMYFUNCTION("""COMPUTED_VALUE"""),"Advanced")</f>
        <v>Advanced</v>
      </c>
      <c r="G21" s="143">
        <f>IFERROR(__xludf.DUMMYFUNCTION("""COMPUTED_VALUE"""),0.032060185185185185)</f>
        <v>0.03206018519</v>
      </c>
      <c r="H21" s="151"/>
      <c r="I21" s="140"/>
      <c r="J21" s="140"/>
      <c r="K21" s="140"/>
      <c r="L21" s="147">
        <f>IFERROR(__xludf.DUMMYFUNCTION("""COMPUTED_VALUE"""),784281.0)</f>
        <v>784281</v>
      </c>
      <c r="M21" s="148" t="str">
        <f>IFERROR(__xludf.DUMMYFUNCTION("""COMPUTED_VALUE"""),"De-Escalating Conversations for Customer Service")</f>
        <v>De-Escalating Conversations for Customer Service</v>
      </c>
      <c r="N21" s="147" t="str">
        <f>IFERROR(__xludf.DUMMYFUNCTION("""COMPUTED_VALUE"""),"General")</f>
        <v>General</v>
      </c>
      <c r="O21" s="141" t="str">
        <f>IFERROR(__xludf.DUMMYFUNCTION("""COMPUTED_VALUE"""),"Advanced")</f>
        <v>Advanced</v>
      </c>
      <c r="P21" s="143">
        <f>IFERROR(__xludf.DUMMYFUNCTION("""COMPUTED_VALUE"""),0.034409722222222223)</f>
        <v>0.03440972222</v>
      </c>
      <c r="Q21" s="151"/>
      <c r="R21" s="140"/>
      <c r="S21" s="140"/>
    </row>
    <row r="22" ht="33.75" customHeight="1">
      <c r="A22" s="140"/>
      <c r="B22" s="140"/>
      <c r="C22" s="147">
        <f>IFERROR(__xludf.DUMMYFUNCTION("""COMPUTED_VALUE"""),2428601.0)</f>
        <v>2428601</v>
      </c>
      <c r="D22" s="148" t="str">
        <f>IFERROR(__xludf.DUMMYFUNCTION("""COMPUTED_VALUE"""),"Creating a Culture That Inspires Your Employees")</f>
        <v>Creating a Culture That Inspires Your Employees</v>
      </c>
      <c r="E22" s="147" t="str">
        <f>IFERROR(__xludf.DUMMYFUNCTION("""COMPUTED_VALUE"""),"Manager")</f>
        <v>Manager</v>
      </c>
      <c r="F22" s="141" t="str">
        <f>IFERROR(__xludf.DUMMYFUNCTION("""COMPUTED_VALUE"""),"Beginner")</f>
        <v>Beginner</v>
      </c>
      <c r="G22" s="143">
        <f>IFERROR(__xludf.DUMMYFUNCTION("""COMPUTED_VALUE"""),0.056400462962962965)</f>
        <v>0.05640046296</v>
      </c>
      <c r="H22" s="151"/>
      <c r="I22" s="140"/>
      <c r="J22" s="140"/>
      <c r="K22" s="140"/>
      <c r="L22" s="147">
        <f>IFERROR(__xludf.DUMMYFUNCTION("""COMPUTED_VALUE"""),2885186.0)</f>
        <v>2885186</v>
      </c>
      <c r="M22" s="148" t="str">
        <f>IFERROR(__xludf.DUMMYFUNCTION("""COMPUTED_VALUE"""),"How to Resolve Conflicts")</f>
        <v>How to Resolve Conflicts</v>
      </c>
      <c r="N22" s="147" t="str">
        <f>IFERROR(__xludf.DUMMYFUNCTION("""COMPUTED_VALUE"""),"General")</f>
        <v>General</v>
      </c>
      <c r="O22" s="141" t="str">
        <f>IFERROR(__xludf.DUMMYFUNCTION("""COMPUTED_VALUE"""),"Advanced")</f>
        <v>Advanced</v>
      </c>
      <c r="P22" s="143">
        <f>IFERROR(__xludf.DUMMYFUNCTION("""COMPUTED_VALUE"""),0.03644675925925926)</f>
        <v>0.03644675926</v>
      </c>
      <c r="Q22" s="151"/>
      <c r="R22" s="140"/>
      <c r="S22" s="140"/>
    </row>
    <row r="23" ht="33.75" customHeight="1">
      <c r="A23" s="140"/>
      <c r="B23" s="140"/>
      <c r="C23" s="147">
        <f>IFERROR(__xludf.DUMMYFUNCTION("""COMPUTED_VALUE"""),2824175.0)</f>
        <v>2824175</v>
      </c>
      <c r="D23" s="148" t="str">
        <f>IFERROR(__xludf.DUMMYFUNCTION("""COMPUTED_VALUE"""),"Communicating In the Language of Leadership")</f>
        <v>Communicating In the Language of Leadership</v>
      </c>
      <c r="E23" s="147" t="str">
        <f>IFERROR(__xludf.DUMMYFUNCTION("""COMPUTED_VALUE"""),"Manager")</f>
        <v>Manager</v>
      </c>
      <c r="F23" s="141" t="str">
        <f>IFERROR(__xludf.DUMMYFUNCTION("""COMPUTED_VALUE"""),"Beginner")</f>
        <v>Beginner</v>
      </c>
      <c r="G23" s="143">
        <f>IFERROR(__xludf.DUMMYFUNCTION("""COMPUTED_VALUE"""),0.010648148148148148)</f>
        <v>0.01064814815</v>
      </c>
      <c r="H23" s="151"/>
      <c r="I23" s="140"/>
      <c r="J23" s="140"/>
      <c r="K23" s="140"/>
      <c r="L23" s="147">
        <f>IFERROR(__xludf.DUMMYFUNCTION("""COMPUTED_VALUE"""),2832010.0)</f>
        <v>2832010</v>
      </c>
      <c r="M23" s="148" t="str">
        <f>IFERROR(__xludf.DUMMYFUNCTION("""COMPUTED_VALUE"""),"How to Proactively Manage Conflict as an Employee")</f>
        <v>How to Proactively Manage Conflict as an Employee</v>
      </c>
      <c r="N23" s="147" t="str">
        <f>IFERROR(__xludf.DUMMYFUNCTION("""COMPUTED_VALUE"""),"General")</f>
        <v>General</v>
      </c>
      <c r="O23" s="141" t="str">
        <f>IFERROR(__xludf.DUMMYFUNCTION("""COMPUTED_VALUE"""),"Beginner")</f>
        <v>Beginner</v>
      </c>
      <c r="P23" s="143">
        <f>IFERROR(__xludf.DUMMYFUNCTION("""COMPUTED_VALUE"""),0.018171296296296297)</f>
        <v>0.0181712963</v>
      </c>
      <c r="Q23" s="151"/>
      <c r="R23" s="140"/>
      <c r="S23" s="140"/>
    </row>
    <row r="24" ht="33.75" customHeight="1">
      <c r="A24" s="140"/>
      <c r="B24" s="140"/>
      <c r="C24" s="147">
        <f>IFERROR(__xludf.DUMMYFUNCTION("""COMPUTED_VALUE"""),2448225.0)</f>
        <v>2448225</v>
      </c>
      <c r="D24" s="148" t="str">
        <f>IFERROR(__xludf.DUMMYFUNCTION("""COMPUTED_VALUE"""),"Influence versus Manipulation: The Ethics of Persuasion")</f>
        <v>Influence versus Manipulation: The Ethics of Persuasion</v>
      </c>
      <c r="E24" s="147" t="str">
        <f>IFERROR(__xludf.DUMMYFUNCTION("""COMPUTED_VALUE"""),"Manager")</f>
        <v>Manager</v>
      </c>
      <c r="F24" s="141" t="str">
        <f>IFERROR(__xludf.DUMMYFUNCTION("""COMPUTED_VALUE"""),"Beginner")</f>
        <v>Beginner</v>
      </c>
      <c r="G24" s="143">
        <f>IFERROR(__xludf.DUMMYFUNCTION("""COMPUTED_VALUE"""),0.029895833333333333)</f>
        <v>0.02989583333</v>
      </c>
      <c r="H24" s="151"/>
      <c r="I24" s="140"/>
      <c r="J24" s="140"/>
      <c r="K24" s="140"/>
      <c r="L24" s="147">
        <f>IFERROR(__xludf.DUMMYFUNCTION("""COMPUTED_VALUE"""),2870084.0)</f>
        <v>2870084</v>
      </c>
      <c r="M24" s="148" t="str">
        <f>IFERROR(__xludf.DUMMYFUNCTION("""COMPUTED_VALUE"""),"Dealing with Disappointment in Your Role")</f>
        <v>Dealing with Disappointment in Your Role</v>
      </c>
      <c r="N24" s="147" t="str">
        <f>IFERROR(__xludf.DUMMYFUNCTION("""COMPUTED_VALUE"""),"General")</f>
        <v>General</v>
      </c>
      <c r="O24" s="141" t="str">
        <f>IFERROR(__xludf.DUMMYFUNCTION("""COMPUTED_VALUE"""),"Beginner")</f>
        <v>Beginner</v>
      </c>
      <c r="P24" s="143">
        <f>IFERROR(__xludf.DUMMYFUNCTION("""COMPUTED_VALUE"""),0.01681712962962963)</f>
        <v>0.01681712963</v>
      </c>
      <c r="Q24" s="151"/>
      <c r="R24" s="140"/>
      <c r="S24" s="140"/>
    </row>
    <row r="25" ht="33.75" customHeight="1">
      <c r="A25" s="140"/>
      <c r="B25" s="140"/>
      <c r="C25" s="147">
        <f>IFERROR(__xludf.DUMMYFUNCTION("""COMPUTED_VALUE"""),2315934.0)</f>
        <v>2315934</v>
      </c>
      <c r="D25" s="148" t="str">
        <f>IFERROR(__xludf.DUMMYFUNCTION("""COMPUTED_VALUE"""),"Supporting a Grieving Employee: A Manager's Guide")</f>
        <v>Supporting a Grieving Employee: A Manager's Guide</v>
      </c>
      <c r="E25" s="147" t="str">
        <f>IFERROR(__xludf.DUMMYFUNCTION("""COMPUTED_VALUE"""),"Manager")</f>
        <v>Manager</v>
      </c>
      <c r="F25" s="141" t="str">
        <f>IFERROR(__xludf.DUMMYFUNCTION("""COMPUTED_VALUE"""),"Beginner + Intermediate")</f>
        <v>Beginner + Intermediate</v>
      </c>
      <c r="G25" s="143">
        <f>IFERROR(__xludf.DUMMYFUNCTION("""COMPUTED_VALUE"""),0.019131944444444444)</f>
        <v>0.01913194444</v>
      </c>
      <c r="H25" s="151"/>
      <c r="I25" s="140"/>
      <c r="J25" s="140"/>
      <c r="K25" s="140"/>
      <c r="L25" s="147">
        <f>IFERROR(__xludf.DUMMYFUNCTION("""COMPUTED_VALUE"""),534584.0)</f>
        <v>534584</v>
      </c>
      <c r="M25" s="148" t="str">
        <f>IFERROR(__xludf.DUMMYFUNCTION("""COMPUTED_VALUE"""),"Communicating with Empathy")</f>
        <v>Communicating with Empathy</v>
      </c>
      <c r="N25" s="147" t="str">
        <f>IFERROR(__xludf.DUMMYFUNCTION("""COMPUTED_VALUE"""),"General")</f>
        <v>General</v>
      </c>
      <c r="O25" s="141" t="str">
        <f>IFERROR(__xludf.DUMMYFUNCTION("""COMPUTED_VALUE"""),"Beginner")</f>
        <v>Beginner</v>
      </c>
      <c r="P25" s="143">
        <f>IFERROR(__xludf.DUMMYFUNCTION("""COMPUTED_VALUE"""),0.026087962962962962)</f>
        <v>0.02608796296</v>
      </c>
      <c r="Q25" s="151"/>
      <c r="R25" s="140"/>
      <c r="S25" s="140"/>
    </row>
    <row r="26" ht="33.75" customHeight="1">
      <c r="A26" s="140"/>
      <c r="B26" s="140"/>
      <c r="C26" s="147">
        <f>IFERROR(__xludf.DUMMYFUNCTION("""COMPUTED_VALUE"""),2809355.0)</f>
        <v>2809355</v>
      </c>
      <c r="D26" s="148" t="str">
        <f>IFERROR(__xludf.DUMMYFUNCTION("""COMPUTED_VALUE"""),"Body Language for Leaders")</f>
        <v>Body Language for Leaders</v>
      </c>
      <c r="E26" s="147" t="str">
        <f>IFERROR(__xludf.DUMMYFUNCTION("""COMPUTED_VALUE"""),"Manager")</f>
        <v>Manager</v>
      </c>
      <c r="F26" s="141" t="str">
        <f>IFERROR(__xludf.DUMMYFUNCTION("""COMPUTED_VALUE"""),"General")</f>
        <v>General</v>
      </c>
      <c r="G26" s="143">
        <f>IFERROR(__xludf.DUMMYFUNCTION("""COMPUTED_VALUE"""),0.02738425925925926)</f>
        <v>0.02738425926</v>
      </c>
      <c r="H26" s="151"/>
      <c r="I26" s="140"/>
      <c r="J26" s="140"/>
      <c r="K26" s="140"/>
      <c r="L26" s="147">
        <f>IFERROR(__xludf.DUMMYFUNCTION("""COMPUTED_VALUE"""),746260.0)</f>
        <v>746260</v>
      </c>
      <c r="M26" s="148" t="str">
        <f>IFERROR(__xludf.DUMMYFUNCTION("""COMPUTED_VALUE"""),"Conflict Resolution Foundations")</f>
        <v>Conflict Resolution Foundations</v>
      </c>
      <c r="N26" s="147" t="str">
        <f>IFERROR(__xludf.DUMMYFUNCTION("""COMPUTED_VALUE"""),"General")</f>
        <v>General</v>
      </c>
      <c r="O26" s="141" t="str">
        <f>IFERROR(__xludf.DUMMYFUNCTION("""COMPUTED_VALUE"""),"Beginner")</f>
        <v>Beginner</v>
      </c>
      <c r="P26" s="143">
        <f>IFERROR(__xludf.DUMMYFUNCTION("""COMPUTED_VALUE"""),0.03556712962962963)</f>
        <v>0.03556712963</v>
      </c>
      <c r="Q26" s="151"/>
      <c r="R26" s="140"/>
      <c r="S26" s="140"/>
    </row>
    <row r="27" ht="33.75" customHeight="1">
      <c r="A27" s="140"/>
      <c r="B27" s="140"/>
      <c r="C27" s="147">
        <f>IFERROR(__xludf.DUMMYFUNCTION("""COMPUTED_VALUE"""),2841066.0)</f>
        <v>2841066</v>
      </c>
      <c r="D27" s="148" t="str">
        <f>IFERROR(__xludf.DUMMYFUNCTION("""COMPUTED_VALUE"""),"Communicating Internally during Times of Uncertainty")</f>
        <v>Communicating Internally during Times of Uncertainty</v>
      </c>
      <c r="E27" s="147" t="str">
        <f>IFERROR(__xludf.DUMMYFUNCTION("""COMPUTED_VALUE"""),"Manager")</f>
        <v>Manager</v>
      </c>
      <c r="F27" s="141" t="str">
        <f>IFERROR(__xludf.DUMMYFUNCTION("""COMPUTED_VALUE"""),"General")</f>
        <v>General</v>
      </c>
      <c r="G27" s="143">
        <f>IFERROR(__xludf.DUMMYFUNCTION("""COMPUTED_VALUE"""),0.021770833333333333)</f>
        <v>0.02177083333</v>
      </c>
      <c r="H27" s="151"/>
      <c r="I27" s="140"/>
      <c r="J27" s="140"/>
      <c r="K27" s="140"/>
      <c r="L27" s="147">
        <f>IFERROR(__xludf.DUMMYFUNCTION("""COMPUTED_VALUE"""),2825336.0)</f>
        <v>2825336</v>
      </c>
      <c r="M27" s="148" t="str">
        <f>IFERROR(__xludf.DUMMYFUNCTION("""COMPUTED_VALUE"""),"Dealing with Difficult People in Your Office")</f>
        <v>Dealing with Difficult People in Your Office</v>
      </c>
      <c r="N27" s="147" t="str">
        <f>IFERROR(__xludf.DUMMYFUNCTION("""COMPUTED_VALUE"""),"General")</f>
        <v>General</v>
      </c>
      <c r="O27" s="141" t="str">
        <f>IFERROR(__xludf.DUMMYFUNCTION("""COMPUTED_VALUE"""),"Beginner")</f>
        <v>Beginner</v>
      </c>
      <c r="P27" s="143">
        <f>IFERROR(__xludf.DUMMYFUNCTION("""COMPUTED_VALUE"""),0.013206018518518518)</f>
        <v>0.01320601852</v>
      </c>
      <c r="Q27" s="151"/>
      <c r="R27" s="140"/>
      <c r="S27" s="140"/>
    </row>
    <row r="28" ht="33.75" customHeight="1">
      <c r="A28" s="140"/>
      <c r="B28" s="140"/>
      <c r="C28" s="147">
        <f>IFERROR(__xludf.DUMMYFUNCTION("""COMPUTED_VALUE"""),656781.0)</f>
        <v>656781</v>
      </c>
      <c r="D28" s="148" t="str">
        <f>IFERROR(__xludf.DUMMYFUNCTION("""COMPUTED_VALUE"""),"Facilitation Skills for Managers and Leaders")</f>
        <v>Facilitation Skills for Managers and Leaders</v>
      </c>
      <c r="E28" s="147" t="str">
        <f>IFERROR(__xludf.DUMMYFUNCTION("""COMPUTED_VALUE"""),"Manager")</f>
        <v>Manager</v>
      </c>
      <c r="F28" s="141" t="str">
        <f>IFERROR(__xludf.DUMMYFUNCTION("""COMPUTED_VALUE"""),"Intermediate")</f>
        <v>Intermediate</v>
      </c>
      <c r="G28" s="143">
        <f>IFERROR(__xludf.DUMMYFUNCTION("""COMPUTED_VALUE"""),0.03)</f>
        <v>0.03</v>
      </c>
      <c r="H28" s="151"/>
      <c r="I28" s="140"/>
      <c r="J28" s="140"/>
      <c r="K28" s="140"/>
      <c r="L28" s="147">
        <f>IFERROR(__xludf.DUMMYFUNCTION("""COMPUTED_VALUE"""),2887217.0)</f>
        <v>2887217</v>
      </c>
      <c r="M28" s="148" t="str">
        <f>IFERROR(__xludf.DUMMYFUNCTION("""COMPUTED_VALUE"""),"Embracing Conflict as a Gift")</f>
        <v>Embracing Conflict as a Gift</v>
      </c>
      <c r="N28" s="147" t="str">
        <f>IFERROR(__xludf.DUMMYFUNCTION("""COMPUTED_VALUE"""),"General")</f>
        <v>General</v>
      </c>
      <c r="O28" s="141" t="str">
        <f>IFERROR(__xludf.DUMMYFUNCTION("""COMPUTED_VALUE"""),"Beginner")</f>
        <v>Beginner</v>
      </c>
      <c r="P28" s="143">
        <f>IFERROR(__xludf.DUMMYFUNCTION("""COMPUTED_VALUE"""),0.020185185185185184)</f>
        <v>0.02018518519</v>
      </c>
      <c r="Q28" s="151"/>
      <c r="R28" s="140"/>
      <c r="S28" s="140"/>
    </row>
    <row r="29" ht="33.75" customHeight="1">
      <c r="A29" s="140"/>
      <c r="B29" s="140"/>
      <c r="C29" s="147">
        <f>IFERROR(__xludf.DUMMYFUNCTION("""COMPUTED_VALUE"""),174923.0)</f>
        <v>174923</v>
      </c>
      <c r="D29" s="148" t="str">
        <f>IFERROR(__xludf.DUMMYFUNCTION("""COMPUTED_VALUE"""),"Leading with Applied Improv")</f>
        <v>Leading with Applied Improv</v>
      </c>
      <c r="E29" s="147" t="str">
        <f>IFERROR(__xludf.DUMMYFUNCTION("""COMPUTED_VALUE"""),"Manager")</f>
        <v>Manager</v>
      </c>
      <c r="F29" s="141" t="str">
        <f>IFERROR(__xludf.DUMMYFUNCTION("""COMPUTED_VALUE"""),"Intermediate")</f>
        <v>Intermediate</v>
      </c>
      <c r="G29" s="143">
        <f>IFERROR(__xludf.DUMMYFUNCTION("""COMPUTED_VALUE"""),0.03179398148148148)</f>
        <v>0.03179398148</v>
      </c>
      <c r="H29" s="151"/>
      <c r="I29" s="140"/>
      <c r="J29" s="140"/>
      <c r="K29" s="140"/>
      <c r="L29" s="147">
        <f>IFERROR(__xludf.DUMMYFUNCTION("""COMPUTED_VALUE"""),2884261.0)</f>
        <v>2884261</v>
      </c>
      <c r="M29" s="148" t="str">
        <f>IFERROR(__xludf.DUMMYFUNCTION("""COMPUTED_VALUE"""),"How to Manage High-Stakes Conflict")</f>
        <v>How to Manage High-Stakes Conflict</v>
      </c>
      <c r="N29" s="147" t="str">
        <f>IFERROR(__xludf.DUMMYFUNCTION("""COMPUTED_VALUE"""),"General")</f>
        <v>General</v>
      </c>
      <c r="O29" s="141" t="str">
        <f>IFERROR(__xludf.DUMMYFUNCTION("""COMPUTED_VALUE"""),"Beginner")</f>
        <v>Beginner</v>
      </c>
      <c r="P29" s="143">
        <f>IFERROR(__xludf.DUMMYFUNCTION("""COMPUTED_VALUE"""),0.013518518518518518)</f>
        <v>0.01351851852</v>
      </c>
      <c r="Q29" s="151"/>
      <c r="R29" s="140"/>
      <c r="S29" s="140"/>
    </row>
    <row r="30" ht="33.75" customHeight="1">
      <c r="A30" s="140"/>
      <c r="B30" s="140"/>
      <c r="C30" s="147">
        <f>IFERROR(__xludf.DUMMYFUNCTION("""COMPUTED_VALUE"""),647652.0)</f>
        <v>647652</v>
      </c>
      <c r="D30" s="148" t="str">
        <f>IFERROR(__xludf.DUMMYFUNCTION("""COMPUTED_VALUE"""),"Igniting Emotional Engagement")</f>
        <v>Igniting Emotional Engagement</v>
      </c>
      <c r="E30" s="147" t="str">
        <f>IFERROR(__xludf.DUMMYFUNCTION("""COMPUTED_VALUE"""),"Manager")</f>
        <v>Manager</v>
      </c>
      <c r="F30" s="141" t="str">
        <f>IFERROR(__xludf.DUMMYFUNCTION("""COMPUTED_VALUE"""),"Intermediate")</f>
        <v>Intermediate</v>
      </c>
      <c r="G30" s="143">
        <f>IFERROR(__xludf.DUMMYFUNCTION("""COMPUTED_VALUE"""),0.032164351851851854)</f>
        <v>0.03216435185</v>
      </c>
      <c r="H30" s="151"/>
      <c r="I30" s="140"/>
      <c r="J30" s="140"/>
      <c r="K30" s="140"/>
      <c r="L30" s="147">
        <f>IFERROR(__xludf.DUMMYFUNCTION("""COMPUTED_VALUE"""),2884262.0)</f>
        <v>2884262</v>
      </c>
      <c r="M30" s="148" t="str">
        <f>IFERROR(__xludf.DUMMYFUNCTION("""COMPUTED_VALUE"""),"How to Use Negotiation Jiu Jitsu to Resolve Conflicts and Persuade")</f>
        <v>How to Use Negotiation Jiu Jitsu to Resolve Conflicts and Persuade</v>
      </c>
      <c r="N30" s="147" t="str">
        <f>IFERROR(__xludf.DUMMYFUNCTION("""COMPUTED_VALUE"""),"General")</f>
        <v>General</v>
      </c>
      <c r="O30" s="141" t="str">
        <f>IFERROR(__xludf.DUMMYFUNCTION("""COMPUTED_VALUE"""),"Beginner")</f>
        <v>Beginner</v>
      </c>
      <c r="P30" s="143">
        <f>IFERROR(__xludf.DUMMYFUNCTION("""COMPUTED_VALUE"""),0.018206018518518517)</f>
        <v>0.01820601852</v>
      </c>
      <c r="Q30" s="151"/>
      <c r="R30" s="140"/>
      <c r="S30" s="140"/>
    </row>
    <row r="31" ht="33.75" customHeight="1">
      <c r="A31" s="140"/>
      <c r="B31" s="140"/>
      <c r="C31" s="147">
        <f>IFERROR(__xludf.DUMMYFUNCTION("""COMPUTED_VALUE"""),778180.0)</f>
        <v>778180</v>
      </c>
      <c r="D31" s="148" t="str">
        <f>IFERROR(__xludf.DUMMYFUNCTION("""COMPUTED_VALUE"""),"Leading with Intelligent Disobedience")</f>
        <v>Leading with Intelligent Disobedience</v>
      </c>
      <c r="E31" s="147" t="str">
        <f>IFERROR(__xludf.DUMMYFUNCTION("""COMPUTED_VALUE"""),"Manager")</f>
        <v>Manager</v>
      </c>
      <c r="F31" s="141" t="str">
        <f>IFERROR(__xludf.DUMMYFUNCTION("""COMPUTED_VALUE"""),"Intermediate")</f>
        <v>Intermediate</v>
      </c>
      <c r="G31" s="143">
        <f>IFERROR(__xludf.DUMMYFUNCTION("""COMPUTED_VALUE"""),0.023703703703703703)</f>
        <v>0.0237037037</v>
      </c>
      <c r="H31" s="151"/>
      <c r="I31" s="140"/>
      <c r="J31" s="140"/>
      <c r="K31" s="140"/>
      <c r="L31" s="147">
        <f>IFERROR(__xludf.DUMMYFUNCTION("""COMPUTED_VALUE"""),2882168.0)</f>
        <v>2882168</v>
      </c>
      <c r="M31" s="148" t="str">
        <f>IFERROR(__xludf.DUMMYFUNCTION("""COMPUTED_VALUE"""),"How to Win Arguments")</f>
        <v>How to Win Arguments</v>
      </c>
      <c r="N31" s="147" t="str">
        <f>IFERROR(__xludf.DUMMYFUNCTION("""COMPUTED_VALUE"""),"General")</f>
        <v>General</v>
      </c>
      <c r="O31" s="141" t="str">
        <f>IFERROR(__xludf.DUMMYFUNCTION("""COMPUTED_VALUE"""),"Beginner")</f>
        <v>Beginner</v>
      </c>
      <c r="P31" s="143">
        <f>IFERROR(__xludf.DUMMYFUNCTION("""COMPUTED_VALUE"""),0.030949074074074073)</f>
        <v>0.03094907407</v>
      </c>
      <c r="Q31" s="151"/>
      <c r="R31" s="140"/>
      <c r="S31" s="140"/>
    </row>
    <row r="32" ht="33.75" customHeight="1">
      <c r="A32" s="140"/>
      <c r="B32" s="140"/>
      <c r="C32" s="147">
        <f>IFERROR(__xludf.DUMMYFUNCTION("""COMPUTED_VALUE"""),711794.0)</f>
        <v>711794</v>
      </c>
      <c r="D32" s="148" t="str">
        <f>IFERROR(__xludf.DUMMYFUNCTION("""COMPUTED_VALUE"""),"Connecting with Executives")</f>
        <v>Connecting with Executives</v>
      </c>
      <c r="E32" s="147" t="str">
        <f>IFERROR(__xludf.DUMMYFUNCTION("""COMPUTED_VALUE"""),"Manager")</f>
        <v>Manager</v>
      </c>
      <c r="F32" s="141" t="str">
        <f>IFERROR(__xludf.DUMMYFUNCTION("""COMPUTED_VALUE"""),"Intermediate")</f>
        <v>Intermediate</v>
      </c>
      <c r="G32" s="143">
        <f>IFERROR(__xludf.DUMMYFUNCTION("""COMPUTED_VALUE"""),0.030208333333333334)</f>
        <v>0.03020833333</v>
      </c>
      <c r="H32" s="151"/>
      <c r="I32" s="140"/>
      <c r="J32" s="140"/>
      <c r="K32" s="140"/>
      <c r="L32" s="147">
        <f>IFERROR(__xludf.DUMMYFUNCTION("""COMPUTED_VALUE"""),2815033.0)</f>
        <v>2815033</v>
      </c>
      <c r="M32" s="148" t="str">
        <f>IFERROR(__xludf.DUMMYFUNCTION("""COMPUTED_VALUE"""),"Mixtape: Highlights from LinkedIn Learning Courses")</f>
        <v>Mixtape: Highlights from LinkedIn Learning Courses</v>
      </c>
      <c r="N32" s="147" t="str">
        <f>IFERROR(__xludf.DUMMYFUNCTION("""COMPUTED_VALUE"""),"General")</f>
        <v>General</v>
      </c>
      <c r="O32" s="141" t="str">
        <f>IFERROR(__xludf.DUMMYFUNCTION("""COMPUTED_VALUE"""),"Beginner + Intermediate")</f>
        <v>Beginner + Intermediate</v>
      </c>
      <c r="P32" s="143">
        <f>IFERROR(__xludf.DUMMYFUNCTION("""COMPUTED_VALUE"""),0.05185185185185185)</f>
        <v>0.05185185185</v>
      </c>
      <c r="Q32" s="151"/>
      <c r="R32" s="140"/>
      <c r="S32" s="140"/>
    </row>
    <row r="33" ht="33.75" customHeight="1">
      <c r="A33" s="140"/>
      <c r="B33" s="140"/>
      <c r="C33" s="147">
        <f>IFERROR(__xludf.DUMMYFUNCTION("""COMPUTED_VALUE"""),797723.0)</f>
        <v>797723</v>
      </c>
      <c r="D33" s="148" t="str">
        <f>IFERROR(__xludf.DUMMYFUNCTION("""COMPUTED_VALUE"""),"Executive Presence on Video Conference Calls")</f>
        <v>Executive Presence on Video Conference Calls</v>
      </c>
      <c r="E33" s="147" t="str">
        <f>IFERROR(__xludf.DUMMYFUNCTION("""COMPUTED_VALUE"""),"Manager")</f>
        <v>Manager</v>
      </c>
      <c r="F33" s="141" t="str">
        <f>IFERROR(__xludf.DUMMYFUNCTION("""COMPUTED_VALUE"""),"Intermediate")</f>
        <v>Intermediate</v>
      </c>
      <c r="G33" s="143">
        <f>IFERROR(__xludf.DUMMYFUNCTION("""COMPUTED_VALUE"""),0.02423611111111111)</f>
        <v>0.02423611111</v>
      </c>
      <c r="H33" s="151"/>
      <c r="I33" s="140"/>
      <c r="J33" s="140"/>
      <c r="K33" s="140"/>
      <c r="L33" s="147">
        <f>IFERROR(__xludf.DUMMYFUNCTION("""COMPUTED_VALUE"""),423244.0)</f>
        <v>423244</v>
      </c>
      <c r="M33" s="148" t="str">
        <f>IFERROR(__xludf.DUMMYFUNCTION("""COMPUTED_VALUE"""),"Fred Kofman on Managing Conflict")</f>
        <v>Fred Kofman on Managing Conflict</v>
      </c>
      <c r="N33" s="147" t="str">
        <f>IFERROR(__xludf.DUMMYFUNCTION("""COMPUTED_VALUE"""),"General")</f>
        <v>General</v>
      </c>
      <c r="O33" s="141" t="str">
        <f>IFERROR(__xludf.DUMMYFUNCTION("""COMPUTED_VALUE"""),"General")</f>
        <v>General</v>
      </c>
      <c r="P33" s="143">
        <f>IFERROR(__xludf.DUMMYFUNCTION("""COMPUTED_VALUE"""),0.04097222222222222)</f>
        <v>0.04097222222</v>
      </c>
      <c r="Q33" s="151"/>
      <c r="R33" s="140"/>
      <c r="S33" s="140"/>
    </row>
    <row r="34" ht="33.75" customHeight="1">
      <c r="A34" s="140"/>
      <c r="B34" s="140"/>
      <c r="C34" s="147">
        <f>IFERROR(__xludf.DUMMYFUNCTION("""COMPUTED_VALUE"""),2895001.0)</f>
        <v>2895001</v>
      </c>
      <c r="D34" s="148" t="str">
        <f>IFERROR(__xludf.DUMMYFUNCTION("""COMPUTED_VALUE"""),"Improving Your Leadership Communications")</f>
        <v>Improving Your Leadership Communications</v>
      </c>
      <c r="E34" s="147" t="str">
        <f>IFERROR(__xludf.DUMMYFUNCTION("""COMPUTED_VALUE"""),"Manager")</f>
        <v>Manager</v>
      </c>
      <c r="F34" s="141" t="str">
        <f>IFERROR(__xludf.DUMMYFUNCTION("""COMPUTED_VALUE"""),"Intermediate")</f>
        <v>Intermediate</v>
      </c>
      <c r="G34" s="143">
        <f>IFERROR(__xludf.DUMMYFUNCTION("""COMPUTED_VALUE"""),0.04873842592592593)</f>
        <v>0.04873842593</v>
      </c>
      <c r="H34" s="151"/>
      <c r="I34" s="140"/>
      <c r="J34" s="140"/>
      <c r="K34" s="140"/>
      <c r="L34" s="147">
        <f>IFERROR(__xludf.DUMMYFUNCTION("""COMPUTED_VALUE"""),746303.0)</f>
        <v>746303</v>
      </c>
      <c r="M34" s="148" t="str">
        <f>IFERROR(__xludf.DUMMYFUNCTION("""COMPUTED_VALUE"""),"Having Difficult Conversations")</f>
        <v>Having Difficult Conversations</v>
      </c>
      <c r="N34" s="147" t="str">
        <f>IFERROR(__xludf.DUMMYFUNCTION("""COMPUTED_VALUE"""),"General")</f>
        <v>General</v>
      </c>
      <c r="O34" s="141" t="str">
        <f>IFERROR(__xludf.DUMMYFUNCTION("""COMPUTED_VALUE"""),"General")</f>
        <v>General</v>
      </c>
      <c r="P34" s="143">
        <f>IFERROR(__xludf.DUMMYFUNCTION("""COMPUTED_VALUE"""),0.04663194444444444)</f>
        <v>0.04663194444</v>
      </c>
      <c r="Q34" s="151"/>
      <c r="R34" s="140"/>
      <c r="S34" s="140"/>
    </row>
    <row r="35" ht="33.75" customHeight="1">
      <c r="A35" s="140"/>
      <c r="B35" s="140"/>
      <c r="C35" s="147">
        <f>IFERROR(__xludf.DUMMYFUNCTION("""COMPUTED_VALUE"""),2893004.0)</f>
        <v>2893004</v>
      </c>
      <c r="D35" s="148" t="str">
        <f>IFERROR(__xludf.DUMMYFUNCTION("""COMPUTED_VALUE"""),"Compassionate Leadership")</f>
        <v>Compassionate Leadership</v>
      </c>
      <c r="E35" s="147" t="str">
        <f>IFERROR(__xludf.DUMMYFUNCTION("""COMPUTED_VALUE"""),"Manager")</f>
        <v>Manager</v>
      </c>
      <c r="F35" s="141" t="str">
        <f>IFERROR(__xludf.DUMMYFUNCTION("""COMPUTED_VALUE"""),"Intermediate")</f>
        <v>Intermediate</v>
      </c>
      <c r="G35" s="143">
        <f>IFERROR(__xludf.DUMMYFUNCTION("""COMPUTED_VALUE"""),0.03711805555555556)</f>
        <v>0.03711805556</v>
      </c>
      <c r="H35" s="151"/>
      <c r="I35" s="140"/>
      <c r="J35" s="140"/>
      <c r="K35" s="140"/>
      <c r="L35" s="147">
        <f>IFERROR(__xludf.DUMMYFUNCTION("""COMPUTED_VALUE"""),180863.0)</f>
        <v>180863</v>
      </c>
      <c r="M35" s="148" t="str">
        <f>IFERROR(__xludf.DUMMYFUNCTION("""COMPUTED_VALUE"""),"Improving Your Conflict Competence")</f>
        <v>Improving Your Conflict Competence</v>
      </c>
      <c r="N35" s="147" t="str">
        <f>IFERROR(__xludf.DUMMYFUNCTION("""COMPUTED_VALUE"""),"General")</f>
        <v>General</v>
      </c>
      <c r="O35" s="141" t="str">
        <f>IFERROR(__xludf.DUMMYFUNCTION("""COMPUTED_VALUE"""),"General")</f>
        <v>General</v>
      </c>
      <c r="P35" s="143">
        <f>IFERROR(__xludf.DUMMYFUNCTION("""COMPUTED_VALUE"""),0.03239583333333333)</f>
        <v>0.03239583333</v>
      </c>
      <c r="Q35" s="151"/>
      <c r="R35" s="140"/>
      <c r="S35" s="140"/>
    </row>
    <row r="36" ht="33.75" customHeight="1">
      <c r="A36" s="140"/>
      <c r="B36" s="140"/>
      <c r="C36" s="147">
        <f>IFERROR(__xludf.DUMMYFUNCTION("""COMPUTED_VALUE"""),2888051.0)</f>
        <v>2888051</v>
      </c>
      <c r="D36" s="148" t="str">
        <f>IFERROR(__xludf.DUMMYFUNCTION("""COMPUTED_VALUE"""),"Integrated Marketing Communication Strategies")</f>
        <v>Integrated Marketing Communication Strategies</v>
      </c>
      <c r="E36" s="147" t="str">
        <f>IFERROR(__xludf.DUMMYFUNCTION("""COMPUTED_VALUE"""),"Individual Contributor")</f>
        <v>Individual Contributor</v>
      </c>
      <c r="F36" s="141" t="str">
        <f>IFERROR(__xludf.DUMMYFUNCTION("""COMPUTED_VALUE"""),"Beginner")</f>
        <v>Beginner</v>
      </c>
      <c r="G36" s="143">
        <f>IFERROR(__xludf.DUMMYFUNCTION("""COMPUTED_VALUE"""),0.03530092592592592)</f>
        <v>0.03530092593</v>
      </c>
      <c r="H36" s="151"/>
      <c r="I36" s="140"/>
      <c r="J36" s="140"/>
      <c r="K36" s="140"/>
      <c r="L36" s="147">
        <f>IFERROR(__xludf.DUMMYFUNCTION("""COMPUTED_VALUE"""),176760.0)</f>
        <v>176760</v>
      </c>
      <c r="M36" s="148" t="str">
        <f>IFERROR(__xludf.DUMMYFUNCTION("""COMPUTED_VALUE"""),"Effective Listening")</f>
        <v>Effective Listening</v>
      </c>
      <c r="N36" s="147" t="str">
        <f>IFERROR(__xludf.DUMMYFUNCTION("""COMPUTED_VALUE"""),"General")</f>
        <v>General</v>
      </c>
      <c r="O36" s="141" t="str">
        <f>IFERROR(__xludf.DUMMYFUNCTION("""COMPUTED_VALUE"""),"General")</f>
        <v>General</v>
      </c>
      <c r="P36" s="143">
        <f>IFERROR(__xludf.DUMMYFUNCTION("""COMPUTED_VALUE"""),0.04486111111111111)</f>
        <v>0.04486111111</v>
      </c>
      <c r="Q36" s="151"/>
      <c r="R36" s="140"/>
      <c r="S36" s="140"/>
    </row>
    <row r="37" ht="33.75" customHeight="1">
      <c r="A37" s="140"/>
      <c r="B37" s="140"/>
      <c r="C37" s="147">
        <f>IFERROR(__xludf.DUMMYFUNCTION("""COMPUTED_VALUE"""),2848322.0)</f>
        <v>2848322</v>
      </c>
      <c r="D37" s="148" t="str">
        <f>IFERROR(__xludf.DUMMYFUNCTION("""COMPUTED_VALUE"""),"How to Develop Friendships and Connect Meaningfully with Work Colleagues")</f>
        <v>How to Develop Friendships and Connect Meaningfully with Work Colleagues</v>
      </c>
      <c r="E37" s="147" t="str">
        <f>IFERROR(__xludf.DUMMYFUNCTION("""COMPUTED_VALUE"""),"Individual Contributor")</f>
        <v>Individual Contributor</v>
      </c>
      <c r="F37" s="141" t="str">
        <f>IFERROR(__xludf.DUMMYFUNCTION("""COMPUTED_VALUE"""),"General")</f>
        <v>General</v>
      </c>
      <c r="G37" s="143">
        <f>IFERROR(__xludf.DUMMYFUNCTION("""COMPUTED_VALUE"""),0.04079861111111111)</f>
        <v>0.04079861111</v>
      </c>
      <c r="H37" s="151"/>
      <c r="I37" s="140"/>
      <c r="J37" s="140"/>
      <c r="K37" s="140"/>
      <c r="L37" s="147">
        <f>IFERROR(__xludf.DUMMYFUNCTION("""COMPUTED_VALUE"""),2832037.0)</f>
        <v>2832037</v>
      </c>
      <c r="M37" s="148" t="str">
        <f>IFERROR(__xludf.DUMMYFUNCTION("""COMPUTED_VALUE"""),"Leading in Crisis")</f>
        <v>Leading in Crisis</v>
      </c>
      <c r="N37" s="147" t="str">
        <f>IFERROR(__xludf.DUMMYFUNCTION("""COMPUTED_VALUE"""),"General")</f>
        <v>General</v>
      </c>
      <c r="O37" s="141" t="str">
        <f>IFERROR(__xludf.DUMMYFUNCTION("""COMPUTED_VALUE"""),"General")</f>
        <v>General</v>
      </c>
      <c r="P37" s="143">
        <f>IFERROR(__xludf.DUMMYFUNCTION("""COMPUTED_VALUE"""),0.012650462962962962)</f>
        <v>0.01265046296</v>
      </c>
      <c r="Q37" s="151"/>
      <c r="R37" s="140"/>
      <c r="S37" s="140"/>
    </row>
    <row r="38" ht="33.75" customHeight="1">
      <c r="A38" s="140"/>
      <c r="B38" s="140"/>
      <c r="C38" s="147">
        <f>IFERROR(__xludf.DUMMYFUNCTION("""COMPUTED_VALUE"""),2875147.0)</f>
        <v>2875147</v>
      </c>
      <c r="D38" s="148" t="str">
        <f>IFERROR(__xludf.DUMMYFUNCTION("""COMPUTED_VALUE"""),"How to Speak Up Against Racism at Work")</f>
        <v>How to Speak Up Against Racism at Work</v>
      </c>
      <c r="E38" s="147" t="str">
        <f>IFERROR(__xludf.DUMMYFUNCTION("""COMPUTED_VALUE"""),"Individual Contributor")</f>
        <v>Individual Contributor</v>
      </c>
      <c r="F38" s="141" t="str">
        <f>IFERROR(__xludf.DUMMYFUNCTION("""COMPUTED_VALUE"""),"General")</f>
        <v>General</v>
      </c>
      <c r="G38" s="143">
        <f>IFERROR(__xludf.DUMMYFUNCTION("""COMPUTED_VALUE"""),0.03498842592592592)</f>
        <v>0.03498842593</v>
      </c>
      <c r="H38" s="151"/>
      <c r="I38" s="140"/>
      <c r="J38" s="140"/>
      <c r="K38" s="140"/>
      <c r="L38" s="147">
        <f>IFERROR(__xludf.DUMMYFUNCTION("""COMPUTED_VALUE"""),2838111.0)</f>
        <v>2838111</v>
      </c>
      <c r="M38" s="148" t="str">
        <f>IFERROR(__xludf.DUMMYFUNCTION("""COMPUTED_VALUE"""),"Marketing During a Crisis")</f>
        <v>Marketing During a Crisis</v>
      </c>
      <c r="N38" s="147" t="str">
        <f>IFERROR(__xludf.DUMMYFUNCTION("""COMPUTED_VALUE"""),"General")</f>
        <v>General</v>
      </c>
      <c r="O38" s="141" t="str">
        <f>IFERROR(__xludf.DUMMYFUNCTION("""COMPUTED_VALUE"""),"General")</f>
        <v>General</v>
      </c>
      <c r="P38" s="143">
        <f>IFERROR(__xludf.DUMMYFUNCTION("""COMPUTED_VALUE"""),0.02105324074074074)</f>
        <v>0.02105324074</v>
      </c>
      <c r="Q38" s="151"/>
      <c r="R38" s="140"/>
      <c r="S38" s="140"/>
    </row>
    <row r="39" ht="33.75" customHeight="1">
      <c r="A39" s="140"/>
      <c r="B39" s="140"/>
      <c r="C39" s="147">
        <f>IFERROR(__xludf.DUMMYFUNCTION("""COMPUTED_VALUE"""),534584.0)</f>
        <v>534584</v>
      </c>
      <c r="D39" s="148" t="str">
        <f>IFERROR(__xludf.DUMMYFUNCTION("""COMPUTED_VALUE"""),"Communicating with Empathy")</f>
        <v>Communicating with Empathy</v>
      </c>
      <c r="E39" s="147" t="str">
        <f>IFERROR(__xludf.DUMMYFUNCTION("""COMPUTED_VALUE"""),"General")</f>
        <v>General</v>
      </c>
      <c r="F39" s="141" t="str">
        <f>IFERROR(__xludf.DUMMYFUNCTION("""COMPUTED_VALUE"""),"Beginner")</f>
        <v>Beginner</v>
      </c>
      <c r="G39" s="143">
        <f>IFERROR(__xludf.DUMMYFUNCTION("""COMPUTED_VALUE"""),0.026087962962962962)</f>
        <v>0.02608796296</v>
      </c>
      <c r="H39" s="151"/>
      <c r="I39" s="140"/>
      <c r="J39" s="140"/>
      <c r="K39" s="140"/>
      <c r="L39" s="147">
        <f>IFERROR(__xludf.DUMMYFUNCTION("""COMPUTED_VALUE"""),2819030.0)</f>
        <v>2819030</v>
      </c>
      <c r="M39" s="148" t="str">
        <f>IFERROR(__xludf.DUMMYFUNCTION("""COMPUTED_VALUE"""),"How to Give Negative Feedback to Senior Colleagues")</f>
        <v>How to Give Negative Feedback to Senior Colleagues</v>
      </c>
      <c r="N39" s="147" t="str">
        <f>IFERROR(__xludf.DUMMYFUNCTION("""COMPUTED_VALUE"""),"General")</f>
        <v>General</v>
      </c>
      <c r="O39" s="141" t="str">
        <f>IFERROR(__xludf.DUMMYFUNCTION("""COMPUTED_VALUE"""),"General")</f>
        <v>General</v>
      </c>
      <c r="P39" s="143">
        <f>IFERROR(__xludf.DUMMYFUNCTION("""COMPUTED_VALUE"""),0.014351851851851852)</f>
        <v>0.01435185185</v>
      </c>
      <c r="Q39" s="151"/>
      <c r="R39" s="140"/>
      <c r="S39" s="140"/>
    </row>
    <row r="40" ht="33.75" customHeight="1">
      <c r="A40" s="140"/>
      <c r="B40" s="140"/>
      <c r="C40" s="147">
        <f>IFERROR(__xludf.DUMMYFUNCTION("""COMPUTED_VALUE"""),700790.0)</f>
        <v>700790</v>
      </c>
      <c r="D40" s="148" t="str">
        <f>IFERROR(__xludf.DUMMYFUNCTION("""COMPUTED_VALUE"""),"Communication Foundations")</f>
        <v>Communication Foundations</v>
      </c>
      <c r="E40" s="147" t="str">
        <f>IFERROR(__xludf.DUMMYFUNCTION("""COMPUTED_VALUE"""),"General")</f>
        <v>General</v>
      </c>
      <c r="F40" s="141" t="str">
        <f>IFERROR(__xludf.DUMMYFUNCTION("""COMPUTED_VALUE"""),"Beginner")</f>
        <v>Beginner</v>
      </c>
      <c r="G40" s="143">
        <f>IFERROR(__xludf.DUMMYFUNCTION("""COMPUTED_VALUE"""),0.054050925925925926)</f>
        <v>0.05405092593</v>
      </c>
      <c r="H40" s="151"/>
      <c r="I40" s="140"/>
      <c r="J40" s="140"/>
      <c r="K40" s="140"/>
      <c r="L40" s="147">
        <f>IFERROR(__xludf.DUMMYFUNCTION("""COMPUTED_VALUE"""),2878126.0)</f>
        <v>2878126</v>
      </c>
      <c r="M40" s="148" t="str">
        <f>IFERROR(__xludf.DUMMYFUNCTION("""COMPUTED_VALUE"""),"Difficult Conversations about Politics at Work")</f>
        <v>Difficult Conversations about Politics at Work</v>
      </c>
      <c r="N40" s="147" t="str">
        <f>IFERROR(__xludf.DUMMYFUNCTION("""COMPUTED_VALUE"""),"General")</f>
        <v>General</v>
      </c>
      <c r="O40" s="141" t="str">
        <f>IFERROR(__xludf.DUMMYFUNCTION("""COMPUTED_VALUE"""),"General")</f>
        <v>General</v>
      </c>
      <c r="P40" s="143">
        <f>IFERROR(__xludf.DUMMYFUNCTION("""COMPUTED_VALUE"""),0.016689814814814814)</f>
        <v>0.01668981481</v>
      </c>
      <c r="Q40" s="151"/>
      <c r="R40" s="140"/>
      <c r="S40" s="140"/>
    </row>
    <row r="41" ht="33.75" customHeight="1">
      <c r="A41" s="140"/>
      <c r="B41" s="140"/>
      <c r="C41" s="147">
        <f>IFERROR(__xludf.DUMMYFUNCTION("""COMPUTED_VALUE"""),580627.0)</f>
        <v>580627</v>
      </c>
      <c r="D41" s="148" t="str">
        <f>IFERROR(__xludf.DUMMYFUNCTION("""COMPUTED_VALUE"""),"Interpersonal Communication")</f>
        <v>Interpersonal Communication</v>
      </c>
      <c r="E41" s="147" t="str">
        <f>IFERROR(__xludf.DUMMYFUNCTION("""COMPUTED_VALUE"""),"General")</f>
        <v>General</v>
      </c>
      <c r="F41" s="141" t="str">
        <f>IFERROR(__xludf.DUMMYFUNCTION("""COMPUTED_VALUE"""),"Beginner")</f>
        <v>Beginner</v>
      </c>
      <c r="G41" s="143">
        <f>IFERROR(__xludf.DUMMYFUNCTION("""COMPUTED_VALUE"""),0.025706018518518517)</f>
        <v>0.02570601852</v>
      </c>
      <c r="H41" s="151"/>
      <c r="I41" s="140"/>
      <c r="J41" s="140"/>
      <c r="K41" s="140"/>
      <c r="L41" s="147">
        <f>IFERROR(__xludf.DUMMYFUNCTION("""COMPUTED_VALUE"""),2823547.0)</f>
        <v>2823547</v>
      </c>
      <c r="M41" s="148" t="str">
        <f>IFERROR(__xludf.DUMMYFUNCTION("""COMPUTED_VALUE"""),"Managing Misconduct in the Workplace")</f>
        <v>Managing Misconduct in the Workplace</v>
      </c>
      <c r="N41" s="147" t="str">
        <f>IFERROR(__xludf.DUMMYFUNCTION("""COMPUTED_VALUE"""),"General")</f>
        <v>General</v>
      </c>
      <c r="O41" s="141" t="str">
        <f>IFERROR(__xludf.DUMMYFUNCTION("""COMPUTED_VALUE"""),"Intermediate")</f>
        <v>Intermediate</v>
      </c>
      <c r="P41" s="143">
        <f>IFERROR(__xludf.DUMMYFUNCTION("""COMPUTED_VALUE"""),0.018912037037037036)</f>
        <v>0.01891203704</v>
      </c>
      <c r="Q41" s="151"/>
      <c r="R41" s="140"/>
      <c r="S41" s="140"/>
    </row>
    <row r="42" ht="33.75" customHeight="1">
      <c r="A42" s="140"/>
      <c r="B42" s="140"/>
      <c r="C42" s="147">
        <f>IFERROR(__xludf.DUMMYFUNCTION("""COMPUTED_VALUE"""),653219.0)</f>
        <v>653219</v>
      </c>
      <c r="D42" s="148" t="str">
        <f>IFERROR(__xludf.DUMMYFUNCTION("""COMPUTED_VALUE"""),"Learning to Be Approachable")</f>
        <v>Learning to Be Approachable</v>
      </c>
      <c r="E42" s="147" t="str">
        <f>IFERROR(__xludf.DUMMYFUNCTION("""COMPUTED_VALUE"""),"General")</f>
        <v>General</v>
      </c>
      <c r="F42" s="141" t="str">
        <f>IFERROR(__xludf.DUMMYFUNCTION("""COMPUTED_VALUE"""),"Beginner")</f>
        <v>Beginner</v>
      </c>
      <c r="G42" s="143">
        <f>IFERROR(__xludf.DUMMYFUNCTION("""COMPUTED_VALUE"""),0.01949074074074074)</f>
        <v>0.01949074074</v>
      </c>
      <c r="H42" s="151"/>
      <c r="I42" s="140"/>
      <c r="J42" s="140"/>
      <c r="K42" s="140"/>
      <c r="L42" s="147"/>
      <c r="M42" s="153"/>
      <c r="N42" s="147"/>
      <c r="O42" s="141"/>
      <c r="P42" s="141"/>
      <c r="Q42" s="151"/>
      <c r="R42" s="140"/>
      <c r="S42" s="140"/>
    </row>
    <row r="43" ht="33.75" customHeight="1">
      <c r="A43" s="140"/>
      <c r="B43" s="140"/>
      <c r="C43" s="147">
        <f>IFERROR(__xludf.DUMMYFUNCTION("""COMPUTED_VALUE"""),553701.0)</f>
        <v>553701</v>
      </c>
      <c r="D43" s="148" t="str">
        <f>IFERROR(__xludf.DUMMYFUNCTION("""COMPUTED_VALUE"""),"Negotiation Skills")</f>
        <v>Negotiation Skills</v>
      </c>
      <c r="E43" s="147" t="str">
        <f>IFERROR(__xludf.DUMMYFUNCTION("""COMPUTED_VALUE"""),"General")</f>
        <v>General</v>
      </c>
      <c r="F43" s="141" t="str">
        <f>IFERROR(__xludf.DUMMYFUNCTION("""COMPUTED_VALUE"""),"Beginner")</f>
        <v>Beginner</v>
      </c>
      <c r="G43" s="143">
        <f>IFERROR(__xludf.DUMMYFUNCTION("""COMPUTED_VALUE"""),0.0884837962962963)</f>
        <v>0.0884837963</v>
      </c>
      <c r="H43" s="151"/>
      <c r="I43" s="140"/>
      <c r="J43" s="140"/>
      <c r="K43" s="140"/>
      <c r="L43" s="147"/>
      <c r="M43" s="153"/>
      <c r="N43" s="147"/>
      <c r="O43" s="141"/>
      <c r="P43" s="141"/>
      <c r="Q43" s="151"/>
      <c r="R43" s="140"/>
      <c r="S43" s="140"/>
    </row>
    <row r="44" ht="33.75" customHeight="1">
      <c r="A44" s="140"/>
      <c r="B44" s="140"/>
      <c r="C44" s="147">
        <f>IFERROR(__xludf.DUMMYFUNCTION("""COMPUTED_VALUE"""),578056.0)</f>
        <v>578056</v>
      </c>
      <c r="D44" s="148" t="str">
        <f>IFERROR(__xludf.DUMMYFUNCTION("""COMPUTED_VALUE"""),"Persuading Others")</f>
        <v>Persuading Others</v>
      </c>
      <c r="E44" s="147" t="str">
        <f>IFERROR(__xludf.DUMMYFUNCTION("""COMPUTED_VALUE"""),"General")</f>
        <v>General</v>
      </c>
      <c r="F44" s="141" t="str">
        <f>IFERROR(__xludf.DUMMYFUNCTION("""COMPUTED_VALUE"""),"Beginner")</f>
        <v>Beginner</v>
      </c>
      <c r="G44" s="143">
        <f>IFERROR(__xludf.DUMMYFUNCTION("""COMPUTED_VALUE"""),0.021238425925925924)</f>
        <v>0.02123842593</v>
      </c>
      <c r="H44" s="151"/>
      <c r="I44" s="140"/>
      <c r="J44" s="140"/>
      <c r="K44" s="140"/>
      <c r="L44" s="147"/>
      <c r="M44" s="153"/>
      <c r="N44" s="147"/>
      <c r="O44" s="141"/>
      <c r="P44" s="141"/>
      <c r="Q44" s="151"/>
      <c r="R44" s="140"/>
      <c r="S44" s="140"/>
    </row>
    <row r="45" ht="33.75" customHeight="1">
      <c r="A45" s="140"/>
      <c r="B45" s="140"/>
      <c r="C45" s="147">
        <f>IFERROR(__xludf.DUMMYFUNCTION("""COMPUTED_VALUE"""),2805907.0)</f>
        <v>2805907</v>
      </c>
      <c r="D45" s="148" t="str">
        <f>IFERROR(__xludf.DUMMYFUNCTION("""COMPUTED_VALUE"""),"Women Transforming Tech: Finding Sponsors")</f>
        <v>Women Transforming Tech: Finding Sponsors</v>
      </c>
      <c r="E45" s="147" t="str">
        <f>IFERROR(__xludf.DUMMYFUNCTION("""COMPUTED_VALUE"""),"General")</f>
        <v>General</v>
      </c>
      <c r="F45" s="141" t="str">
        <f>IFERROR(__xludf.DUMMYFUNCTION("""COMPUTED_VALUE"""),"Beginner")</f>
        <v>Beginner</v>
      </c>
      <c r="G45" s="143">
        <f>IFERROR(__xludf.DUMMYFUNCTION("""COMPUTED_VALUE"""),0.00949074074074074)</f>
        <v>0.009490740741</v>
      </c>
      <c r="H45" s="151"/>
      <c r="I45" s="140"/>
      <c r="J45" s="140"/>
      <c r="K45" s="140"/>
      <c r="L45" s="147"/>
      <c r="M45" s="153"/>
      <c r="N45" s="147"/>
      <c r="O45" s="141"/>
      <c r="P45" s="141"/>
      <c r="Q45" s="151"/>
      <c r="R45" s="140"/>
      <c r="S45" s="140"/>
    </row>
    <row r="46" ht="33.75" customHeight="1">
      <c r="A46" s="140"/>
      <c r="B46" s="140"/>
      <c r="C46" s="147">
        <f>IFERROR(__xludf.DUMMYFUNCTION("""COMPUTED_VALUE"""),2807858.0)</f>
        <v>2807858</v>
      </c>
      <c r="D46" s="148" t="str">
        <f>IFERROR(__xludf.DUMMYFUNCTION("""COMPUTED_VALUE"""),"Women Transforming Tech: Getting Strategic with Your Career")</f>
        <v>Women Transforming Tech: Getting Strategic with Your Career</v>
      </c>
      <c r="E46" s="147" t="str">
        <f>IFERROR(__xludf.DUMMYFUNCTION("""COMPUTED_VALUE"""),"General")</f>
        <v>General</v>
      </c>
      <c r="F46" s="141" t="str">
        <f>IFERROR(__xludf.DUMMYFUNCTION("""COMPUTED_VALUE"""),"Beginner")</f>
        <v>Beginner</v>
      </c>
      <c r="G46" s="143">
        <f>IFERROR(__xludf.DUMMYFUNCTION("""COMPUTED_VALUE"""),0.011689814814814814)</f>
        <v>0.01168981481</v>
      </c>
      <c r="H46" s="151"/>
      <c r="I46" s="140"/>
      <c r="J46" s="140"/>
      <c r="K46" s="140"/>
      <c r="L46" s="147"/>
      <c r="M46" s="153"/>
      <c r="N46" s="147"/>
      <c r="O46" s="141"/>
      <c r="P46" s="141"/>
      <c r="Q46" s="151"/>
      <c r="R46" s="140"/>
      <c r="S46" s="140"/>
    </row>
    <row r="47" ht="33.75" customHeight="1">
      <c r="A47" s="140"/>
      <c r="B47" s="140"/>
      <c r="C47" s="147">
        <f>IFERROR(__xludf.DUMMYFUNCTION("""COMPUTED_VALUE"""),2807859.0)</f>
        <v>2807859</v>
      </c>
      <c r="D47" s="148" t="str">
        <f>IFERROR(__xludf.DUMMYFUNCTION("""COMPUTED_VALUE"""),"Women Transforming Tech: Voices from the Field")</f>
        <v>Women Transforming Tech: Voices from the Field</v>
      </c>
      <c r="E47" s="147" t="str">
        <f>IFERROR(__xludf.DUMMYFUNCTION("""COMPUTED_VALUE"""),"General")</f>
        <v>General</v>
      </c>
      <c r="F47" s="141" t="str">
        <f>IFERROR(__xludf.DUMMYFUNCTION("""COMPUTED_VALUE"""),"Beginner")</f>
        <v>Beginner</v>
      </c>
      <c r="G47" s="143">
        <f>IFERROR(__xludf.DUMMYFUNCTION("""COMPUTED_VALUE"""),0.01778935185185185)</f>
        <v>0.01778935185</v>
      </c>
      <c r="H47" s="151"/>
      <c r="I47" s="140"/>
      <c r="J47" s="140"/>
      <c r="K47" s="140"/>
      <c r="L47" s="147"/>
      <c r="M47" s="153"/>
      <c r="N47" s="147"/>
      <c r="O47" s="141"/>
      <c r="P47" s="141"/>
      <c r="Q47" s="151"/>
      <c r="R47" s="140"/>
      <c r="S47" s="140"/>
    </row>
    <row r="48" ht="33.75" customHeight="1">
      <c r="A48" s="140"/>
      <c r="B48" s="140"/>
      <c r="C48" s="147">
        <f>IFERROR(__xludf.DUMMYFUNCTION("""COMPUTED_VALUE"""),2808545.0)</f>
        <v>2808545</v>
      </c>
      <c r="D48" s="148" t="str">
        <f>IFERROR(__xludf.DUMMYFUNCTION("""COMPUTED_VALUE"""),"Women Transforming Tech: Networking")</f>
        <v>Women Transforming Tech: Networking</v>
      </c>
      <c r="E48" s="147" t="str">
        <f>IFERROR(__xludf.DUMMYFUNCTION("""COMPUTED_VALUE"""),"General")</f>
        <v>General</v>
      </c>
      <c r="F48" s="141" t="str">
        <f>IFERROR(__xludf.DUMMYFUNCTION("""COMPUTED_VALUE"""),"Beginner")</f>
        <v>Beginner</v>
      </c>
      <c r="G48" s="143">
        <f>IFERROR(__xludf.DUMMYFUNCTION("""COMPUTED_VALUE"""),0.013726851851851851)</f>
        <v>0.01372685185</v>
      </c>
      <c r="H48" s="151"/>
      <c r="I48" s="140"/>
      <c r="J48" s="140"/>
      <c r="K48" s="140"/>
      <c r="L48" s="147"/>
      <c r="M48" s="153"/>
      <c r="N48" s="147"/>
      <c r="O48" s="141"/>
      <c r="P48" s="141"/>
      <c r="Q48" s="151"/>
      <c r="R48" s="140"/>
      <c r="S48" s="140"/>
    </row>
    <row r="49" ht="33.75" customHeight="1">
      <c r="A49" s="140"/>
      <c r="B49" s="140"/>
      <c r="C49" s="147">
        <f>IFERROR(__xludf.DUMMYFUNCTION("""COMPUTED_VALUE"""),2812533.0)</f>
        <v>2812533</v>
      </c>
      <c r="D49" s="148" t="str">
        <f>IFERROR(__xludf.DUMMYFUNCTION("""COMPUTED_VALUE"""),"Own Your Voice: Improve Presentations and Executive Presence")</f>
        <v>Own Your Voice: Improve Presentations and Executive Presence</v>
      </c>
      <c r="E49" s="147" t="str">
        <f>IFERROR(__xludf.DUMMYFUNCTION("""COMPUTED_VALUE"""),"General")</f>
        <v>General</v>
      </c>
      <c r="F49" s="141" t="str">
        <f>IFERROR(__xludf.DUMMYFUNCTION("""COMPUTED_VALUE"""),"Beginner")</f>
        <v>Beginner</v>
      </c>
      <c r="G49" s="143">
        <f>IFERROR(__xludf.DUMMYFUNCTION("""COMPUTED_VALUE"""),0.026284722222222223)</f>
        <v>0.02628472222</v>
      </c>
      <c r="H49" s="151"/>
      <c r="I49" s="140"/>
      <c r="J49" s="140"/>
      <c r="K49" s="140"/>
      <c r="L49" s="147"/>
      <c r="M49" s="153"/>
      <c r="N49" s="147"/>
      <c r="O49" s="141"/>
      <c r="P49" s="141"/>
      <c r="Q49" s="151"/>
      <c r="R49" s="140"/>
      <c r="S49" s="140"/>
    </row>
    <row r="50" ht="33.75" customHeight="1">
      <c r="A50" s="140"/>
      <c r="B50" s="140"/>
      <c r="C50" s="147">
        <f>IFERROR(__xludf.DUMMYFUNCTION("""COMPUTED_VALUE"""),2813144.0)</f>
        <v>2813144</v>
      </c>
      <c r="D50" s="148" t="str">
        <f>IFERROR(__xludf.DUMMYFUNCTION("""COMPUTED_VALUE"""),"Social Success at Work")</f>
        <v>Social Success at Work</v>
      </c>
      <c r="E50" s="147" t="str">
        <f>IFERROR(__xludf.DUMMYFUNCTION("""COMPUTED_VALUE"""),"General")</f>
        <v>General</v>
      </c>
      <c r="F50" s="141" t="str">
        <f>IFERROR(__xludf.DUMMYFUNCTION("""COMPUTED_VALUE"""),"Beginner")</f>
        <v>Beginner</v>
      </c>
      <c r="G50" s="143">
        <f>IFERROR(__xludf.DUMMYFUNCTION("""COMPUTED_VALUE"""),0.012881944444444444)</f>
        <v>0.01288194444</v>
      </c>
      <c r="H50" s="151"/>
      <c r="I50" s="140"/>
      <c r="J50" s="140"/>
      <c r="K50" s="140"/>
      <c r="L50" s="147"/>
      <c r="M50" s="153"/>
      <c r="N50" s="147"/>
      <c r="O50" s="141"/>
      <c r="P50" s="141"/>
      <c r="Q50" s="151"/>
      <c r="R50" s="140"/>
      <c r="S50" s="140"/>
    </row>
    <row r="51" ht="33.75" customHeight="1">
      <c r="A51" s="140"/>
      <c r="B51" s="140"/>
      <c r="C51" s="147">
        <f>IFERROR(__xludf.DUMMYFUNCTION("""COMPUTED_VALUE"""),2243047.0)</f>
        <v>2243047</v>
      </c>
      <c r="D51" s="148" t="str">
        <f>IFERROR(__xludf.DUMMYFUNCTION("""COMPUTED_VALUE"""),"Top of Mind: Use Content to Unleash Your Influence (getAbstract Summary)")</f>
        <v>Top of Mind: Use Content to Unleash Your Influence (getAbstract Summary)</v>
      </c>
      <c r="E51" s="147" t="str">
        <f>IFERROR(__xludf.DUMMYFUNCTION("""COMPUTED_VALUE"""),"General")</f>
        <v>General</v>
      </c>
      <c r="F51" s="141" t="str">
        <f>IFERROR(__xludf.DUMMYFUNCTION("""COMPUTED_VALUE"""),"Beginner")</f>
        <v>Beginner</v>
      </c>
      <c r="G51" s="143">
        <f>IFERROR(__xludf.DUMMYFUNCTION("""COMPUTED_VALUE"""),0.0059375)</f>
        <v>0.0059375</v>
      </c>
      <c r="H51" s="151"/>
      <c r="I51" s="140"/>
      <c r="J51" s="140"/>
      <c r="K51" s="140"/>
      <c r="L51" s="147"/>
      <c r="M51" s="153"/>
      <c r="N51" s="147"/>
      <c r="O51" s="141"/>
      <c r="P51" s="141"/>
      <c r="Q51" s="151"/>
      <c r="R51" s="140"/>
      <c r="S51" s="140"/>
    </row>
    <row r="52" ht="33.75" customHeight="1">
      <c r="A52" s="140"/>
      <c r="B52" s="140"/>
      <c r="C52" s="147">
        <f>IFERROR(__xludf.DUMMYFUNCTION("""COMPUTED_VALUE"""),2834027.0)</f>
        <v>2834027</v>
      </c>
      <c r="D52" s="148" t="str">
        <f>IFERROR(__xludf.DUMMYFUNCTION("""COMPUTED_VALUE"""),"Learning Webex Meetings")</f>
        <v>Learning Webex Meetings</v>
      </c>
      <c r="E52" s="147" t="str">
        <f>IFERROR(__xludf.DUMMYFUNCTION("""COMPUTED_VALUE"""),"General")</f>
        <v>General</v>
      </c>
      <c r="F52" s="141" t="str">
        <f>IFERROR(__xludf.DUMMYFUNCTION("""COMPUTED_VALUE"""),"Beginner")</f>
        <v>Beginner</v>
      </c>
      <c r="G52" s="143">
        <f>IFERROR(__xludf.DUMMYFUNCTION("""COMPUTED_VALUE"""),0.038738425925925926)</f>
        <v>0.03873842593</v>
      </c>
      <c r="H52" s="151"/>
      <c r="I52" s="140"/>
      <c r="J52" s="140"/>
      <c r="K52" s="140"/>
      <c r="L52" s="147"/>
      <c r="M52" s="153"/>
      <c r="N52" s="147"/>
      <c r="O52" s="141"/>
      <c r="P52" s="141"/>
      <c r="Q52" s="151"/>
      <c r="R52" s="140"/>
      <c r="S52" s="140"/>
    </row>
    <row r="53" ht="33.75" customHeight="1">
      <c r="A53" s="140"/>
      <c r="B53" s="140"/>
      <c r="C53" s="147">
        <f>IFERROR(__xludf.DUMMYFUNCTION("""COMPUTED_VALUE"""),2299019.0)</f>
        <v>2299019</v>
      </c>
      <c r="D53" s="148" t="str">
        <f>IFERROR(__xludf.DUMMYFUNCTION("""COMPUTED_VALUE"""),"Find Your Passion: How Padma Lakshmi Found Hers")</f>
        <v>Find Your Passion: How Padma Lakshmi Found Hers</v>
      </c>
      <c r="E53" s="147" t="str">
        <f>IFERROR(__xludf.DUMMYFUNCTION("""COMPUTED_VALUE"""),"General")</f>
        <v>General</v>
      </c>
      <c r="F53" s="141" t="str">
        <f>IFERROR(__xludf.DUMMYFUNCTION("""COMPUTED_VALUE"""),"Beginner")</f>
        <v>Beginner</v>
      </c>
      <c r="G53" s="143">
        <f>IFERROR(__xludf.DUMMYFUNCTION("""COMPUTED_VALUE"""),0.015636574074074074)</f>
        <v>0.01563657407</v>
      </c>
      <c r="H53" s="151"/>
      <c r="I53" s="140"/>
      <c r="J53" s="140"/>
      <c r="K53" s="140"/>
      <c r="L53" s="147"/>
      <c r="M53" s="153"/>
      <c r="N53" s="147"/>
      <c r="O53" s="141"/>
      <c r="P53" s="141"/>
      <c r="Q53" s="151"/>
      <c r="R53" s="140"/>
      <c r="S53" s="140"/>
    </row>
    <row r="54" ht="33.75" customHeight="1">
      <c r="A54" s="140"/>
      <c r="B54" s="140"/>
      <c r="C54" s="147">
        <f>IFERROR(__xludf.DUMMYFUNCTION("""COMPUTED_VALUE"""),2837268.0)</f>
        <v>2837268</v>
      </c>
      <c r="D54" s="148" t="str">
        <f>IFERROR(__xludf.DUMMYFUNCTION("""COMPUTED_VALUE"""),"Jeffrey Gitomer’s Little Red Book of Sales Answers (getAbstract Summary)")</f>
        <v>Jeffrey Gitomer’s Little Red Book of Sales Answers (getAbstract Summary)</v>
      </c>
      <c r="E54" s="147" t="str">
        <f>IFERROR(__xludf.DUMMYFUNCTION("""COMPUTED_VALUE"""),"General")</f>
        <v>General</v>
      </c>
      <c r="F54" s="141" t="str">
        <f>IFERROR(__xludf.DUMMYFUNCTION("""COMPUTED_VALUE"""),"Beginner")</f>
        <v>Beginner</v>
      </c>
      <c r="G54" s="143">
        <f>IFERROR(__xludf.DUMMYFUNCTION("""COMPUTED_VALUE"""),0.007592592592592593)</f>
        <v>0.007592592593</v>
      </c>
      <c r="H54" s="151"/>
      <c r="I54" s="140"/>
      <c r="J54" s="140"/>
      <c r="K54" s="140"/>
      <c r="L54" s="147"/>
      <c r="M54" s="153"/>
      <c r="N54" s="147"/>
      <c r="O54" s="141"/>
      <c r="P54" s="141"/>
      <c r="Q54" s="151"/>
      <c r="R54" s="140"/>
      <c r="S54" s="140"/>
    </row>
    <row r="55" ht="33.75" customHeight="1">
      <c r="A55" s="140"/>
      <c r="B55" s="140"/>
      <c r="C55" s="147">
        <f>IFERROR(__xludf.DUMMYFUNCTION("""COMPUTED_VALUE"""),2836031.0)</f>
        <v>2836031</v>
      </c>
      <c r="D55" s="148" t="str">
        <f>IFERROR(__xludf.DUMMYFUNCTION("""COMPUTED_VALUE"""),"Crucial Conversations (getAbstract Summary)")</f>
        <v>Crucial Conversations (getAbstract Summary)</v>
      </c>
      <c r="E55" s="147" t="str">
        <f>IFERROR(__xludf.DUMMYFUNCTION("""COMPUTED_VALUE"""),"General")</f>
        <v>General</v>
      </c>
      <c r="F55" s="141" t="str">
        <f>IFERROR(__xludf.DUMMYFUNCTION("""COMPUTED_VALUE"""),"Beginner")</f>
        <v>Beginner</v>
      </c>
      <c r="G55" s="143">
        <f>IFERROR(__xludf.DUMMYFUNCTION("""COMPUTED_VALUE"""),0.01025462962962963)</f>
        <v>0.01025462963</v>
      </c>
      <c r="H55" s="151"/>
      <c r="I55" s="140"/>
      <c r="J55" s="140"/>
      <c r="K55" s="140"/>
      <c r="L55" s="147"/>
      <c r="M55" s="153"/>
      <c r="N55" s="147"/>
      <c r="O55" s="141"/>
      <c r="P55" s="141"/>
      <c r="Q55" s="151"/>
      <c r="R55" s="140"/>
      <c r="S55" s="140"/>
    </row>
    <row r="56" ht="33.75" customHeight="1">
      <c r="A56" s="140"/>
      <c r="B56" s="140"/>
      <c r="C56" s="147">
        <f>IFERROR(__xludf.DUMMYFUNCTION("""COMPUTED_VALUE"""),2873069.0)</f>
        <v>2873069</v>
      </c>
      <c r="D56" s="148" t="str">
        <f>IFERROR(__xludf.DUMMYFUNCTION("""COMPUTED_VALUE"""),"How to Crush Self-Doubt and Build Self-Confidence")</f>
        <v>How to Crush Self-Doubt and Build Self-Confidence</v>
      </c>
      <c r="E56" s="147" t="str">
        <f>IFERROR(__xludf.DUMMYFUNCTION("""COMPUTED_VALUE"""),"General")</f>
        <v>General</v>
      </c>
      <c r="F56" s="141" t="str">
        <f>IFERROR(__xludf.DUMMYFUNCTION("""COMPUTED_VALUE"""),"Beginner")</f>
        <v>Beginner</v>
      </c>
      <c r="G56" s="143">
        <f>IFERROR(__xludf.DUMMYFUNCTION("""COMPUTED_VALUE"""),0.014710648148148148)</f>
        <v>0.01471064815</v>
      </c>
      <c r="H56" s="151"/>
      <c r="I56" s="140"/>
      <c r="J56" s="140"/>
      <c r="K56" s="140"/>
      <c r="L56" s="147"/>
      <c r="M56" s="153"/>
      <c r="N56" s="147"/>
      <c r="O56" s="141"/>
      <c r="P56" s="141"/>
      <c r="Q56" s="151"/>
      <c r="R56" s="140"/>
      <c r="S56" s="140"/>
    </row>
    <row r="57" ht="33.75" customHeight="1">
      <c r="A57" s="140"/>
      <c r="B57" s="140"/>
      <c r="C57" s="147">
        <f>IFERROR(__xludf.DUMMYFUNCTION("""COMPUTED_VALUE"""),2877030.0)</f>
        <v>2877030</v>
      </c>
      <c r="D57" s="148" t="str">
        <f>IFERROR(__xludf.DUMMYFUNCTION("""COMPUTED_VALUE"""),"Becoming an Impactful and Influential Leader")</f>
        <v>Becoming an Impactful and Influential Leader</v>
      </c>
      <c r="E57" s="147" t="str">
        <f>IFERROR(__xludf.DUMMYFUNCTION("""COMPUTED_VALUE"""),"General")</f>
        <v>General</v>
      </c>
      <c r="F57" s="141" t="str">
        <f>IFERROR(__xludf.DUMMYFUNCTION("""COMPUTED_VALUE"""),"Beginner")</f>
        <v>Beginner</v>
      </c>
      <c r="G57" s="143">
        <f>IFERROR(__xludf.DUMMYFUNCTION("""COMPUTED_VALUE"""),0.014733796296296297)</f>
        <v>0.0147337963</v>
      </c>
      <c r="H57" s="151"/>
      <c r="I57" s="140"/>
      <c r="J57" s="140"/>
      <c r="K57" s="140"/>
      <c r="L57" s="147"/>
      <c r="M57" s="153"/>
      <c r="N57" s="147"/>
      <c r="O57" s="141"/>
      <c r="P57" s="141"/>
      <c r="Q57" s="151"/>
      <c r="R57" s="140"/>
      <c r="S57" s="140"/>
    </row>
    <row r="58" ht="33.75" customHeight="1">
      <c r="A58" s="140"/>
      <c r="B58" s="140"/>
      <c r="C58" s="147">
        <f>IFERROR(__xludf.DUMMYFUNCTION("""COMPUTED_VALUE"""),2865036.0)</f>
        <v>2865036</v>
      </c>
      <c r="D58" s="148" t="str">
        <f>IFERROR(__xludf.DUMMYFUNCTION("""COMPUTED_VALUE"""),"The Power of Introverts")</f>
        <v>The Power of Introverts</v>
      </c>
      <c r="E58" s="147" t="str">
        <f>IFERROR(__xludf.DUMMYFUNCTION("""COMPUTED_VALUE"""),"General")</f>
        <v>General</v>
      </c>
      <c r="F58" s="141" t="str">
        <f>IFERROR(__xludf.DUMMYFUNCTION("""COMPUTED_VALUE"""),"Beginner")</f>
        <v>Beginner</v>
      </c>
      <c r="G58" s="143">
        <f>IFERROR(__xludf.DUMMYFUNCTION("""COMPUTED_VALUE"""),0.02568287037037037)</f>
        <v>0.02568287037</v>
      </c>
      <c r="H58" s="151"/>
      <c r="I58" s="140"/>
      <c r="J58" s="140"/>
      <c r="K58" s="140"/>
      <c r="L58" s="147"/>
      <c r="M58" s="153"/>
      <c r="N58" s="147"/>
      <c r="O58" s="141"/>
      <c r="P58" s="141"/>
      <c r="Q58" s="151"/>
      <c r="R58" s="140"/>
      <c r="S58" s="140"/>
    </row>
    <row r="59" ht="33.75" customHeight="1">
      <c r="A59" s="140"/>
      <c r="B59" s="140"/>
      <c r="C59" s="147">
        <f>IFERROR(__xludf.DUMMYFUNCTION("""COMPUTED_VALUE"""),2877078.0)</f>
        <v>2877078</v>
      </c>
      <c r="D59" s="148" t="str">
        <f>IFERROR(__xludf.DUMMYFUNCTION("""COMPUTED_VALUE"""),"The Upward Spiral of Compassion")</f>
        <v>The Upward Spiral of Compassion</v>
      </c>
      <c r="E59" s="147" t="str">
        <f>IFERROR(__xludf.DUMMYFUNCTION("""COMPUTED_VALUE"""),"General")</f>
        <v>General</v>
      </c>
      <c r="F59" s="141" t="str">
        <f>IFERROR(__xludf.DUMMYFUNCTION("""COMPUTED_VALUE"""),"Beginner")</f>
        <v>Beginner</v>
      </c>
      <c r="G59" s="143">
        <f>IFERROR(__xludf.DUMMYFUNCTION("""COMPUTED_VALUE"""),0.02619212962962963)</f>
        <v>0.02619212963</v>
      </c>
      <c r="H59" s="151"/>
      <c r="I59" s="140"/>
      <c r="J59" s="140"/>
      <c r="K59" s="140"/>
      <c r="L59" s="147"/>
      <c r="M59" s="153"/>
      <c r="N59" s="147"/>
      <c r="O59" s="141"/>
      <c r="P59" s="141"/>
      <c r="Q59" s="151"/>
      <c r="R59" s="140"/>
      <c r="S59" s="140"/>
    </row>
    <row r="60" ht="33.75" customHeight="1">
      <c r="A60" s="140"/>
      <c r="B60" s="140"/>
      <c r="C60" s="147">
        <f>IFERROR(__xludf.DUMMYFUNCTION("""COMPUTED_VALUE"""),2877077.0)</f>
        <v>2877077</v>
      </c>
      <c r="D60" s="148" t="str">
        <f>IFERROR(__xludf.DUMMYFUNCTION("""COMPUTED_VALUE"""),"The Science of Compassion: An Introduction")</f>
        <v>The Science of Compassion: An Introduction</v>
      </c>
      <c r="E60" s="147" t="str">
        <f>IFERROR(__xludf.DUMMYFUNCTION("""COMPUTED_VALUE"""),"General")</f>
        <v>General</v>
      </c>
      <c r="F60" s="141" t="str">
        <f>IFERROR(__xludf.DUMMYFUNCTION("""COMPUTED_VALUE"""),"Beginner")</f>
        <v>Beginner</v>
      </c>
      <c r="G60" s="143">
        <f>IFERROR(__xludf.DUMMYFUNCTION("""COMPUTED_VALUE"""),0.037766203703703705)</f>
        <v>0.0377662037</v>
      </c>
      <c r="H60" s="151"/>
      <c r="I60" s="140"/>
      <c r="J60" s="140"/>
      <c r="K60" s="140"/>
      <c r="L60" s="147"/>
      <c r="M60" s="153"/>
      <c r="N60" s="147"/>
      <c r="O60" s="141"/>
      <c r="P60" s="141"/>
      <c r="Q60" s="151"/>
      <c r="R60" s="140"/>
      <c r="S60" s="140"/>
    </row>
    <row r="61" ht="33.75" customHeight="1">
      <c r="A61" s="140"/>
      <c r="B61" s="140"/>
      <c r="C61" s="147">
        <f>IFERROR(__xludf.DUMMYFUNCTION("""COMPUTED_VALUE"""),2974329.0)</f>
        <v>2974329</v>
      </c>
      <c r="D61" s="148" t="str">
        <f>IFERROR(__xludf.DUMMYFUNCTION("""COMPUTED_VALUE"""),"Inspirational Leadership Skills: Practical Motivational Leadership")</f>
        <v>Inspirational Leadership Skills: Practical Motivational Leadership</v>
      </c>
      <c r="E61" s="147" t="str">
        <f>IFERROR(__xludf.DUMMYFUNCTION("""COMPUTED_VALUE"""),"General")</f>
        <v>General</v>
      </c>
      <c r="F61" s="141" t="str">
        <f>IFERROR(__xludf.DUMMYFUNCTION("""COMPUTED_VALUE"""),"Beginner")</f>
        <v>Beginner</v>
      </c>
      <c r="G61" s="143">
        <f>IFERROR(__xludf.DUMMYFUNCTION("""COMPUTED_VALUE"""),0.12664351851851852)</f>
        <v>0.1266435185</v>
      </c>
      <c r="H61" s="151"/>
      <c r="I61" s="140"/>
      <c r="J61" s="140"/>
      <c r="K61" s="140"/>
      <c r="L61" s="147"/>
      <c r="M61" s="153"/>
      <c r="N61" s="147"/>
      <c r="O61" s="141"/>
      <c r="P61" s="141"/>
      <c r="Q61" s="151"/>
      <c r="R61" s="140"/>
      <c r="S61" s="140"/>
    </row>
    <row r="62" ht="33.75" customHeight="1">
      <c r="A62" s="140"/>
      <c r="B62" s="140"/>
      <c r="C62" s="147">
        <f>IFERROR(__xludf.DUMMYFUNCTION("""COMPUTED_VALUE"""),2834039.0)</f>
        <v>2834039</v>
      </c>
      <c r="D62" s="148" t="str">
        <f>IFERROR(__xludf.DUMMYFUNCTION("""COMPUTED_VALUE"""),"Communication within Teams")</f>
        <v>Communication within Teams</v>
      </c>
      <c r="E62" s="147" t="str">
        <f>IFERROR(__xludf.DUMMYFUNCTION("""COMPUTED_VALUE"""),"General")</f>
        <v>General</v>
      </c>
      <c r="F62" s="141" t="str">
        <f>IFERROR(__xludf.DUMMYFUNCTION("""COMPUTED_VALUE"""),"Beginner")</f>
        <v>Beginner</v>
      </c>
      <c r="G62" s="143">
        <f>IFERROR(__xludf.DUMMYFUNCTION("""COMPUTED_VALUE"""),0.030601851851851852)</f>
        <v>0.03060185185</v>
      </c>
      <c r="H62" s="151"/>
      <c r="I62" s="140"/>
      <c r="J62" s="140"/>
      <c r="K62" s="140"/>
      <c r="L62" s="147"/>
      <c r="M62" s="153"/>
      <c r="N62" s="147"/>
      <c r="O62" s="141"/>
      <c r="P62" s="141"/>
      <c r="Q62" s="151"/>
      <c r="R62" s="140"/>
      <c r="S62" s="140"/>
    </row>
    <row r="63" ht="33.75" customHeight="1">
      <c r="A63" s="140"/>
      <c r="B63" s="140"/>
      <c r="C63" s="147">
        <f>IFERROR(__xludf.DUMMYFUNCTION("""COMPUTED_VALUE"""),2877282.0)</f>
        <v>2877282</v>
      </c>
      <c r="D63" s="148" t="str">
        <f>IFERROR(__xludf.DUMMYFUNCTION("""COMPUTED_VALUE"""),"Constructive Candor: Important Conversations with Coworkers, Family, and Friends")</f>
        <v>Constructive Candor: Important Conversations with Coworkers, Family, and Friends</v>
      </c>
      <c r="E63" s="147" t="str">
        <f>IFERROR(__xludf.DUMMYFUNCTION("""COMPUTED_VALUE"""),"General")</f>
        <v>General</v>
      </c>
      <c r="F63" s="141" t="str">
        <f>IFERROR(__xludf.DUMMYFUNCTION("""COMPUTED_VALUE"""),"Beginner")</f>
        <v>Beginner</v>
      </c>
      <c r="G63" s="143">
        <f>IFERROR(__xludf.DUMMYFUNCTION("""COMPUTED_VALUE"""),0.054814814814814816)</f>
        <v>0.05481481481</v>
      </c>
      <c r="H63" s="151"/>
      <c r="I63" s="140"/>
      <c r="J63" s="140"/>
      <c r="K63" s="140"/>
      <c r="L63" s="147"/>
      <c r="M63" s="153"/>
      <c r="N63" s="147"/>
      <c r="O63" s="141"/>
      <c r="P63" s="141"/>
      <c r="Q63" s="151"/>
      <c r="R63" s="140"/>
      <c r="S63" s="140"/>
    </row>
    <row r="64" ht="33.75" customHeight="1">
      <c r="A64" s="140"/>
      <c r="B64" s="140"/>
      <c r="C64" s="147">
        <f>IFERROR(__xludf.DUMMYFUNCTION("""COMPUTED_VALUE"""),2882168.0)</f>
        <v>2882168</v>
      </c>
      <c r="D64" s="148" t="str">
        <f>IFERROR(__xludf.DUMMYFUNCTION("""COMPUTED_VALUE"""),"How to Win Arguments")</f>
        <v>How to Win Arguments</v>
      </c>
      <c r="E64" s="147" t="str">
        <f>IFERROR(__xludf.DUMMYFUNCTION("""COMPUTED_VALUE"""),"General")</f>
        <v>General</v>
      </c>
      <c r="F64" s="141" t="str">
        <f>IFERROR(__xludf.DUMMYFUNCTION("""COMPUTED_VALUE"""),"Beginner")</f>
        <v>Beginner</v>
      </c>
      <c r="G64" s="143">
        <f>IFERROR(__xludf.DUMMYFUNCTION("""COMPUTED_VALUE"""),0.030949074074074073)</f>
        <v>0.03094907407</v>
      </c>
      <c r="H64" s="151"/>
      <c r="I64" s="140"/>
      <c r="J64" s="140"/>
      <c r="K64" s="140"/>
      <c r="L64" s="147"/>
      <c r="M64" s="153"/>
      <c r="N64" s="147"/>
      <c r="O64" s="141"/>
      <c r="P64" s="141"/>
      <c r="Q64" s="151"/>
      <c r="R64" s="140"/>
      <c r="S64" s="140"/>
    </row>
    <row r="65" ht="33.75" customHeight="1">
      <c r="A65" s="140"/>
      <c r="B65" s="140"/>
      <c r="C65" s="147">
        <f>IFERROR(__xludf.DUMMYFUNCTION("""COMPUTED_VALUE"""),2823588.0)</f>
        <v>2823588</v>
      </c>
      <c r="D65" s="148" t="str">
        <f>IFERROR(__xludf.DUMMYFUNCTION("""COMPUTED_VALUE"""),"Media Relations Foundations")</f>
        <v>Media Relations Foundations</v>
      </c>
      <c r="E65" s="147" t="str">
        <f>IFERROR(__xludf.DUMMYFUNCTION("""COMPUTED_VALUE"""),"General")</f>
        <v>General</v>
      </c>
      <c r="F65" s="141" t="str">
        <f>IFERROR(__xludf.DUMMYFUNCTION("""COMPUTED_VALUE"""),"Beginner")</f>
        <v>Beginner</v>
      </c>
      <c r="G65" s="143">
        <f>IFERROR(__xludf.DUMMYFUNCTION("""COMPUTED_VALUE"""),0.01954861111111111)</f>
        <v>0.01954861111</v>
      </c>
      <c r="H65" s="151"/>
      <c r="I65" s="140"/>
      <c r="J65" s="140"/>
      <c r="K65" s="140"/>
      <c r="L65" s="147"/>
      <c r="M65" s="153"/>
      <c r="N65" s="147"/>
      <c r="O65" s="141"/>
      <c r="P65" s="141"/>
      <c r="Q65" s="151"/>
      <c r="R65" s="140"/>
      <c r="S65" s="140"/>
    </row>
    <row r="66" ht="33.75" customHeight="1">
      <c r="A66" s="140"/>
      <c r="B66" s="140"/>
      <c r="C66" s="147">
        <f>IFERROR(__xludf.DUMMYFUNCTION("""COMPUTED_VALUE"""),2881187.0)</f>
        <v>2881187</v>
      </c>
      <c r="D66" s="148" t="str">
        <f>IFERROR(__xludf.DUMMYFUNCTION("""COMPUTED_VALUE"""),"Practical Influencing Techniques")</f>
        <v>Practical Influencing Techniques</v>
      </c>
      <c r="E66" s="147" t="str">
        <f>IFERROR(__xludf.DUMMYFUNCTION("""COMPUTED_VALUE"""),"General")</f>
        <v>General</v>
      </c>
      <c r="F66" s="141" t="str">
        <f>IFERROR(__xludf.DUMMYFUNCTION("""COMPUTED_VALUE"""),"Beginner")</f>
        <v>Beginner</v>
      </c>
      <c r="G66" s="143">
        <f>IFERROR(__xludf.DUMMYFUNCTION("""COMPUTED_VALUE"""),0.11833333333333333)</f>
        <v>0.1183333333</v>
      </c>
      <c r="H66" s="151"/>
      <c r="I66" s="140"/>
      <c r="J66" s="140"/>
      <c r="K66" s="140"/>
      <c r="L66" s="147"/>
      <c r="M66" s="153"/>
      <c r="N66" s="147"/>
      <c r="O66" s="141"/>
      <c r="P66" s="141"/>
      <c r="Q66" s="151"/>
      <c r="R66" s="140"/>
      <c r="S66" s="140"/>
    </row>
    <row r="67" ht="33.75" customHeight="1">
      <c r="A67" s="140"/>
      <c r="B67" s="140"/>
      <c r="C67" s="147">
        <f>IFERROR(__xludf.DUMMYFUNCTION("""COMPUTED_VALUE"""),2885185.0)</f>
        <v>2885185</v>
      </c>
      <c r="D67" s="148" t="str">
        <f>IFERROR(__xludf.DUMMYFUNCTION("""COMPUTED_VALUE"""),"Becoming Assertive: Advocate for Your Interests")</f>
        <v>Becoming Assertive: Advocate for Your Interests</v>
      </c>
      <c r="E67" s="147" t="str">
        <f>IFERROR(__xludf.DUMMYFUNCTION("""COMPUTED_VALUE"""),"General")</f>
        <v>General</v>
      </c>
      <c r="F67" s="141" t="str">
        <f>IFERROR(__xludf.DUMMYFUNCTION("""COMPUTED_VALUE"""),"Beginner")</f>
        <v>Beginner</v>
      </c>
      <c r="G67" s="143">
        <f>IFERROR(__xludf.DUMMYFUNCTION("""COMPUTED_VALUE"""),0.0365625)</f>
        <v>0.0365625</v>
      </c>
      <c r="H67" s="151"/>
      <c r="I67" s="140"/>
      <c r="J67" s="140"/>
      <c r="K67" s="140"/>
      <c r="L67" s="147"/>
      <c r="M67" s="153"/>
      <c r="N67" s="147"/>
      <c r="O67" s="141"/>
      <c r="P67" s="141"/>
      <c r="Q67" s="151"/>
      <c r="R67" s="140"/>
      <c r="S67" s="140"/>
    </row>
    <row r="68" ht="33.75" customHeight="1">
      <c r="A68" s="140"/>
      <c r="B68" s="140"/>
      <c r="C68" s="147">
        <f>IFERROR(__xludf.DUMMYFUNCTION("""COMPUTED_VALUE"""),2886207.0)</f>
        <v>2886207</v>
      </c>
      <c r="D68" s="148" t="str">
        <f>IFERROR(__xludf.DUMMYFUNCTION("""COMPUTED_VALUE"""),"Centered Communication: Get Better Results from Your Conversations")</f>
        <v>Centered Communication: Get Better Results from Your Conversations</v>
      </c>
      <c r="E68" s="147" t="str">
        <f>IFERROR(__xludf.DUMMYFUNCTION("""COMPUTED_VALUE"""),"General")</f>
        <v>General</v>
      </c>
      <c r="F68" s="141" t="str">
        <f>IFERROR(__xludf.DUMMYFUNCTION("""COMPUTED_VALUE"""),"Beginner")</f>
        <v>Beginner</v>
      </c>
      <c r="G68" s="143">
        <f>IFERROR(__xludf.DUMMYFUNCTION("""COMPUTED_VALUE"""),0.04003472222222222)</f>
        <v>0.04003472222</v>
      </c>
      <c r="H68" s="151"/>
      <c r="I68" s="140"/>
      <c r="J68" s="140"/>
      <c r="K68" s="140"/>
      <c r="L68" s="147"/>
      <c r="M68" s="153"/>
      <c r="N68" s="147"/>
      <c r="O68" s="141"/>
      <c r="P68" s="141"/>
      <c r="Q68" s="151"/>
      <c r="R68" s="140"/>
      <c r="S68" s="140"/>
    </row>
    <row r="69" ht="33.75" customHeight="1">
      <c r="A69" s="140"/>
      <c r="B69" s="140"/>
      <c r="C69" s="147">
        <f>IFERROR(__xludf.DUMMYFUNCTION("""COMPUTED_VALUE"""),2881291.0)</f>
        <v>2881291</v>
      </c>
      <c r="D69" s="148" t="str">
        <f>IFERROR(__xludf.DUMMYFUNCTION("""COMPUTED_VALUE"""),"Three Tips for Managing Egos and Difficult Emotions")</f>
        <v>Three Tips for Managing Egos and Difficult Emotions</v>
      </c>
      <c r="E69" s="147" t="str">
        <f>IFERROR(__xludf.DUMMYFUNCTION("""COMPUTED_VALUE"""),"General")</f>
        <v>General</v>
      </c>
      <c r="F69" s="141" t="str">
        <f>IFERROR(__xludf.DUMMYFUNCTION("""COMPUTED_VALUE"""),"Beginner")</f>
        <v>Beginner</v>
      </c>
      <c r="G69" s="143">
        <f>IFERROR(__xludf.DUMMYFUNCTION("""COMPUTED_VALUE"""),0.016875)</f>
        <v>0.016875</v>
      </c>
      <c r="H69" s="151"/>
      <c r="I69" s="140"/>
      <c r="J69" s="140"/>
      <c r="K69" s="140"/>
      <c r="L69" s="147"/>
      <c r="M69" s="153"/>
      <c r="N69" s="147"/>
      <c r="O69" s="141"/>
      <c r="P69" s="141"/>
      <c r="Q69" s="151"/>
      <c r="R69" s="140"/>
      <c r="S69" s="140"/>
    </row>
    <row r="70" ht="33.75" customHeight="1">
      <c r="A70" s="140"/>
      <c r="B70" s="140"/>
      <c r="C70" s="147">
        <f>IFERROR(__xludf.DUMMYFUNCTION("""COMPUTED_VALUE"""),2887335.0)</f>
        <v>2887335</v>
      </c>
      <c r="D70" s="148" t="str">
        <f>IFERROR(__xludf.DUMMYFUNCTION("""COMPUTED_VALUE"""),"How to Be Both Assertive and Likable")</f>
        <v>How to Be Both Assertive and Likable</v>
      </c>
      <c r="E70" s="147" t="str">
        <f>IFERROR(__xludf.DUMMYFUNCTION("""COMPUTED_VALUE"""),"General")</f>
        <v>General</v>
      </c>
      <c r="F70" s="141" t="str">
        <f>IFERROR(__xludf.DUMMYFUNCTION("""COMPUTED_VALUE"""),"Beginner")</f>
        <v>Beginner</v>
      </c>
      <c r="G70" s="143">
        <f>IFERROR(__xludf.DUMMYFUNCTION("""COMPUTED_VALUE"""),0.01960648148148148)</f>
        <v>0.01960648148</v>
      </c>
      <c r="H70" s="151"/>
      <c r="I70" s="140"/>
      <c r="J70" s="140"/>
      <c r="K70" s="140"/>
      <c r="L70" s="147"/>
      <c r="M70" s="153"/>
      <c r="N70" s="147"/>
      <c r="O70" s="141"/>
      <c r="P70" s="141"/>
      <c r="Q70" s="151"/>
      <c r="R70" s="140"/>
      <c r="S70" s="140"/>
    </row>
    <row r="71" ht="33.75" customHeight="1">
      <c r="A71" s="140"/>
      <c r="B71" s="140"/>
      <c r="C71" s="147">
        <f>IFERROR(__xludf.DUMMYFUNCTION("""COMPUTED_VALUE"""),2423654.0)</f>
        <v>2423654</v>
      </c>
      <c r="D71" s="148" t="str">
        <f>IFERROR(__xludf.DUMMYFUNCTION("""COMPUTED_VALUE"""),"Influence Without Authority (getAbstract Summary)")</f>
        <v>Influence Without Authority (getAbstract Summary)</v>
      </c>
      <c r="E71" s="147" t="str">
        <f>IFERROR(__xludf.DUMMYFUNCTION("""COMPUTED_VALUE"""),"General")</f>
        <v>General</v>
      </c>
      <c r="F71" s="141" t="str">
        <f>IFERROR(__xludf.DUMMYFUNCTION("""COMPUTED_VALUE"""),"Beginner")</f>
        <v>Beginner</v>
      </c>
      <c r="G71" s="143">
        <f>IFERROR(__xludf.DUMMYFUNCTION("""COMPUTED_VALUE"""),0.0062268518518518515)</f>
        <v>0.006226851852</v>
      </c>
      <c r="H71" s="151"/>
      <c r="I71" s="140"/>
      <c r="J71" s="140"/>
      <c r="K71" s="140"/>
      <c r="L71" s="147"/>
      <c r="M71" s="153"/>
      <c r="N71" s="147"/>
      <c r="O71" s="141"/>
      <c r="P71" s="141"/>
      <c r="Q71" s="151"/>
      <c r="R71" s="140"/>
      <c r="S71" s="140"/>
    </row>
    <row r="72" ht="33.75" customHeight="1">
      <c r="A72" s="140"/>
      <c r="B72" s="140"/>
      <c r="C72" s="147">
        <f>IFERROR(__xludf.DUMMYFUNCTION("""COMPUTED_VALUE"""),2426603.0)</f>
        <v>2426603</v>
      </c>
      <c r="D72" s="148" t="str">
        <f>IFERROR(__xludf.DUMMYFUNCTION("""COMPUTED_VALUE"""),"Articulating Your Value")</f>
        <v>Articulating Your Value</v>
      </c>
      <c r="E72" s="147" t="str">
        <f>IFERROR(__xludf.DUMMYFUNCTION("""COMPUTED_VALUE"""),"General")</f>
        <v>General</v>
      </c>
      <c r="F72" s="141" t="str">
        <f>IFERROR(__xludf.DUMMYFUNCTION("""COMPUTED_VALUE"""),"Beginner")</f>
        <v>Beginner</v>
      </c>
      <c r="G72" s="143">
        <f>IFERROR(__xludf.DUMMYFUNCTION("""COMPUTED_VALUE"""),0.024467592592592593)</f>
        <v>0.02446759259</v>
      </c>
      <c r="H72" s="151"/>
      <c r="I72" s="140"/>
      <c r="J72" s="140"/>
      <c r="K72" s="140"/>
      <c r="L72" s="147"/>
      <c r="M72" s="153"/>
      <c r="N72" s="147"/>
      <c r="O72" s="141"/>
      <c r="P72" s="141"/>
      <c r="Q72" s="151"/>
      <c r="R72" s="140"/>
      <c r="S72" s="140"/>
    </row>
    <row r="73" ht="33.75" customHeight="1">
      <c r="A73" s="140"/>
      <c r="B73" s="140"/>
      <c r="C73" s="147">
        <f>IFERROR(__xludf.DUMMYFUNCTION("""COMPUTED_VALUE"""),3006797.0)</f>
        <v>3006797</v>
      </c>
      <c r="D73" s="148" t="str">
        <f>IFERROR(__xludf.DUMMYFUNCTION("""COMPUTED_VALUE"""),"How to Persuade When Facts Don't Seem to Matter")</f>
        <v>How to Persuade When Facts Don't Seem to Matter</v>
      </c>
      <c r="E73" s="147" t="str">
        <f>IFERROR(__xludf.DUMMYFUNCTION("""COMPUTED_VALUE"""),"General")</f>
        <v>General</v>
      </c>
      <c r="F73" s="141" t="str">
        <f>IFERROR(__xludf.DUMMYFUNCTION("""COMPUTED_VALUE"""),"Beginner")</f>
        <v>Beginner</v>
      </c>
      <c r="G73" s="143">
        <f>IFERROR(__xludf.DUMMYFUNCTION("""COMPUTED_VALUE"""),0.012013888888888888)</f>
        <v>0.01201388889</v>
      </c>
      <c r="H73" s="151"/>
      <c r="I73" s="140"/>
      <c r="J73" s="140"/>
      <c r="K73" s="140"/>
      <c r="L73" s="147"/>
      <c r="M73" s="153"/>
      <c r="N73" s="147"/>
      <c r="O73" s="141"/>
      <c r="P73" s="141"/>
      <c r="Q73" s="151"/>
      <c r="R73" s="140"/>
      <c r="S73" s="140"/>
    </row>
    <row r="74" ht="33.75" customHeight="1">
      <c r="A74" s="140"/>
      <c r="B74" s="140"/>
      <c r="C74" s="147">
        <f>IFERROR(__xludf.DUMMYFUNCTION("""COMPUTED_VALUE"""),3010188.0)</f>
        <v>3010188</v>
      </c>
      <c r="D74" s="148" t="str">
        <f>IFERROR(__xludf.DUMMYFUNCTION("""COMPUTED_VALUE"""),"How to Listen and How to Be Heard (getAbstract Summary)")</f>
        <v>How to Listen and How to Be Heard (getAbstract Summary)</v>
      </c>
      <c r="E74" s="147" t="str">
        <f>IFERROR(__xludf.DUMMYFUNCTION("""COMPUTED_VALUE"""),"General")</f>
        <v>General</v>
      </c>
      <c r="F74" s="141" t="str">
        <f>IFERROR(__xludf.DUMMYFUNCTION("""COMPUTED_VALUE"""),"Beginner")</f>
        <v>Beginner</v>
      </c>
      <c r="G74" s="143">
        <f>IFERROR(__xludf.DUMMYFUNCTION("""COMPUTED_VALUE"""),0.008888888888888889)</f>
        <v>0.008888888889</v>
      </c>
      <c r="H74" s="151"/>
      <c r="I74" s="140"/>
      <c r="J74" s="140"/>
      <c r="K74" s="140"/>
      <c r="L74" s="147"/>
      <c r="M74" s="153"/>
      <c r="N74" s="147"/>
      <c r="O74" s="141"/>
      <c r="P74" s="141"/>
      <c r="Q74" s="151"/>
      <c r="R74" s="140"/>
      <c r="S74" s="140"/>
    </row>
    <row r="75" ht="33.75" customHeight="1">
      <c r="A75" s="140"/>
      <c r="B75" s="140"/>
      <c r="C75" s="147">
        <f>IFERROR(__xludf.DUMMYFUNCTION("""COMPUTED_VALUE"""),3011746.0)</f>
        <v>3011746</v>
      </c>
      <c r="D75" s="148" t="str">
        <f>IFERROR(__xludf.DUMMYFUNCTION("""COMPUTED_VALUE"""),"How to Speak So People Want to Listen")</f>
        <v>How to Speak So People Want to Listen</v>
      </c>
      <c r="E75" s="147" t="str">
        <f>IFERROR(__xludf.DUMMYFUNCTION("""COMPUTED_VALUE"""),"General")</f>
        <v>General</v>
      </c>
      <c r="F75" s="141" t="str">
        <f>IFERROR(__xludf.DUMMYFUNCTION("""COMPUTED_VALUE"""),"Beginner")</f>
        <v>Beginner</v>
      </c>
      <c r="G75" s="143">
        <f>IFERROR(__xludf.DUMMYFUNCTION("""COMPUTED_VALUE"""),0.023645833333333335)</f>
        <v>0.02364583333</v>
      </c>
      <c r="H75" s="151"/>
      <c r="I75" s="140"/>
      <c r="J75" s="140"/>
      <c r="K75" s="140"/>
      <c r="L75" s="147"/>
      <c r="M75" s="153"/>
      <c r="N75" s="147"/>
      <c r="O75" s="141"/>
      <c r="P75" s="141"/>
      <c r="Q75" s="151"/>
      <c r="R75" s="140"/>
      <c r="S75" s="140"/>
    </row>
    <row r="76" ht="33.75" customHeight="1">
      <c r="A76" s="140"/>
      <c r="B76" s="140"/>
      <c r="C76" s="147">
        <f>IFERROR(__xludf.DUMMYFUNCTION("""COMPUTED_VALUE"""),3013334.0)</f>
        <v>3013334</v>
      </c>
      <c r="D76" s="148" t="str">
        <f>IFERROR(__xludf.DUMMYFUNCTION("""COMPUTED_VALUE"""),"Becoming a Great Conversationalist")</f>
        <v>Becoming a Great Conversationalist</v>
      </c>
      <c r="E76" s="147" t="str">
        <f>IFERROR(__xludf.DUMMYFUNCTION("""COMPUTED_VALUE"""),"General")</f>
        <v>General</v>
      </c>
      <c r="F76" s="141" t="str">
        <f>IFERROR(__xludf.DUMMYFUNCTION("""COMPUTED_VALUE"""),"Beginner")</f>
        <v>Beginner</v>
      </c>
      <c r="G76" s="143">
        <f>IFERROR(__xludf.DUMMYFUNCTION("""COMPUTED_VALUE"""),0.014791666666666667)</f>
        <v>0.01479166667</v>
      </c>
      <c r="H76" s="151"/>
      <c r="I76" s="140"/>
      <c r="J76" s="140"/>
      <c r="K76" s="140"/>
      <c r="L76" s="147"/>
      <c r="M76" s="153"/>
      <c r="N76" s="147"/>
      <c r="O76" s="141"/>
      <c r="P76" s="141"/>
      <c r="Q76" s="151"/>
      <c r="R76" s="140"/>
      <c r="S76" s="140"/>
    </row>
    <row r="77" ht="33.75" customHeight="1">
      <c r="A77" s="140"/>
      <c r="B77" s="140"/>
      <c r="C77" s="147">
        <f>IFERROR(__xludf.DUMMYFUNCTION("""COMPUTED_VALUE"""),3007730.0)</f>
        <v>3007730</v>
      </c>
      <c r="D77" s="148" t="str">
        <f>IFERROR(__xludf.DUMMYFUNCTION("""COMPUTED_VALUE"""),"Talking Boldly: When Inclusion Meets Politics at the Office")</f>
        <v>Talking Boldly: When Inclusion Meets Politics at the Office</v>
      </c>
      <c r="E77" s="147" t="str">
        <f>IFERROR(__xludf.DUMMYFUNCTION("""COMPUTED_VALUE"""),"General")</f>
        <v>General</v>
      </c>
      <c r="F77" s="141" t="str">
        <f>IFERROR(__xludf.DUMMYFUNCTION("""COMPUTED_VALUE"""),"Beginner")</f>
        <v>Beginner</v>
      </c>
      <c r="G77" s="143">
        <f>IFERROR(__xludf.DUMMYFUNCTION("""COMPUTED_VALUE"""),0.011331018518518518)</f>
        <v>0.01133101852</v>
      </c>
      <c r="H77" s="151"/>
      <c r="I77" s="140"/>
      <c r="J77" s="140"/>
      <c r="K77" s="140"/>
      <c r="L77" s="147"/>
      <c r="M77" s="153"/>
      <c r="N77" s="147"/>
      <c r="O77" s="141"/>
      <c r="P77" s="141"/>
      <c r="Q77" s="151"/>
      <c r="R77" s="140"/>
      <c r="S77" s="140"/>
    </row>
    <row r="78" ht="33.75" customHeight="1">
      <c r="A78" s="140"/>
      <c r="B78" s="140"/>
      <c r="C78" s="147">
        <f>IFERROR(__xludf.DUMMYFUNCTION("""COMPUTED_VALUE"""),3009566.0)</f>
        <v>3009566</v>
      </c>
      <c r="D78" s="148" t="str">
        <f>IFERROR(__xludf.DUMMYFUNCTION("""COMPUTED_VALUE"""),"Building Inclusive Work Communities")</f>
        <v>Building Inclusive Work Communities</v>
      </c>
      <c r="E78" s="147" t="str">
        <f>IFERROR(__xludf.DUMMYFUNCTION("""COMPUTED_VALUE"""),"General")</f>
        <v>General</v>
      </c>
      <c r="F78" s="141" t="str">
        <f>IFERROR(__xludf.DUMMYFUNCTION("""COMPUTED_VALUE"""),"Beginner")</f>
        <v>Beginner</v>
      </c>
      <c r="G78" s="143">
        <f>IFERROR(__xludf.DUMMYFUNCTION("""COMPUTED_VALUE"""),0.03563657407407408)</f>
        <v>0.03563657407</v>
      </c>
      <c r="H78" s="151"/>
      <c r="I78" s="140"/>
      <c r="J78" s="140"/>
      <c r="K78" s="140"/>
      <c r="L78" s="147"/>
      <c r="M78" s="153"/>
      <c r="N78" s="147"/>
      <c r="O78" s="141"/>
      <c r="P78" s="141"/>
      <c r="Q78" s="151"/>
      <c r="R78" s="140"/>
      <c r="S78" s="140"/>
    </row>
    <row r="79" ht="33.75" customHeight="1">
      <c r="A79" s="140"/>
      <c r="B79" s="140"/>
      <c r="C79" s="147">
        <f>IFERROR(__xludf.DUMMYFUNCTION("""COMPUTED_VALUE"""),2448118.0)</f>
        <v>2448118</v>
      </c>
      <c r="D79" s="148" t="str">
        <f>IFERROR(__xludf.DUMMYFUNCTION("""COMPUTED_VALUE"""),"Telling Stories That Stick")</f>
        <v>Telling Stories That Stick</v>
      </c>
      <c r="E79" s="147" t="str">
        <f>IFERROR(__xludf.DUMMYFUNCTION("""COMPUTED_VALUE"""),"General")</f>
        <v>General</v>
      </c>
      <c r="F79" s="141" t="str">
        <f>IFERROR(__xludf.DUMMYFUNCTION("""COMPUTED_VALUE"""),"Beginner")</f>
        <v>Beginner</v>
      </c>
      <c r="G79" s="143">
        <f>IFERROR(__xludf.DUMMYFUNCTION("""COMPUTED_VALUE"""),0.03980324074074074)</f>
        <v>0.03980324074</v>
      </c>
      <c r="H79" s="151"/>
      <c r="I79" s="140"/>
      <c r="J79" s="140"/>
      <c r="K79" s="140"/>
      <c r="L79" s="147"/>
      <c r="M79" s="153"/>
      <c r="N79" s="147"/>
      <c r="O79" s="141"/>
      <c r="P79" s="141"/>
      <c r="Q79" s="151"/>
      <c r="R79" s="140"/>
      <c r="S79" s="140"/>
    </row>
    <row r="80" ht="33.75" customHeight="1">
      <c r="A80" s="140"/>
      <c r="B80" s="140"/>
      <c r="C80" s="147">
        <f>IFERROR(__xludf.DUMMYFUNCTION("""COMPUTED_VALUE"""),2449235.0)</f>
        <v>2449235</v>
      </c>
      <c r="D80" s="148" t="str">
        <f>IFERROR(__xludf.DUMMYFUNCTION("""COMPUTED_VALUE"""),"Communicating through Disagreement")</f>
        <v>Communicating through Disagreement</v>
      </c>
      <c r="E80" s="147" t="str">
        <f>IFERROR(__xludf.DUMMYFUNCTION("""COMPUTED_VALUE"""),"General")</f>
        <v>General</v>
      </c>
      <c r="F80" s="141" t="str">
        <f>IFERROR(__xludf.DUMMYFUNCTION("""COMPUTED_VALUE"""),"Beginner")</f>
        <v>Beginner</v>
      </c>
      <c r="G80" s="143">
        <f>IFERROR(__xludf.DUMMYFUNCTION("""COMPUTED_VALUE"""),0.028680555555555556)</f>
        <v>0.02868055556</v>
      </c>
      <c r="H80" s="151"/>
      <c r="I80" s="140"/>
      <c r="J80" s="140"/>
      <c r="K80" s="140"/>
      <c r="L80" s="147"/>
      <c r="M80" s="153"/>
      <c r="N80" s="147"/>
      <c r="O80" s="141"/>
      <c r="P80" s="141"/>
      <c r="Q80" s="151"/>
      <c r="R80" s="140"/>
      <c r="S80" s="140"/>
    </row>
    <row r="81" ht="33.75" customHeight="1">
      <c r="A81" s="154"/>
      <c r="B81" s="154"/>
      <c r="C81" s="147">
        <f>IFERROR(__xludf.DUMMYFUNCTION("""COMPUTED_VALUE"""),3013335.0)</f>
        <v>3013335</v>
      </c>
      <c r="D81" s="148" t="str">
        <f>IFERROR(__xludf.DUMMYFUNCTION("""COMPUTED_VALUE"""),"Asking for and Getting What You Want")</f>
        <v>Asking for and Getting What You Want</v>
      </c>
      <c r="E81" s="147" t="str">
        <f>IFERROR(__xludf.DUMMYFUNCTION("""COMPUTED_VALUE"""),"General")</f>
        <v>General</v>
      </c>
      <c r="F81" s="141" t="str">
        <f>IFERROR(__xludf.DUMMYFUNCTION("""COMPUTED_VALUE"""),"Beginner")</f>
        <v>Beginner</v>
      </c>
      <c r="G81" s="143">
        <f>IFERROR(__xludf.DUMMYFUNCTION("""COMPUTED_VALUE"""),0.018032407407407407)</f>
        <v>0.01803240741</v>
      </c>
      <c r="H81" s="151"/>
      <c r="I81" s="154"/>
      <c r="J81" s="154"/>
      <c r="K81" s="154"/>
      <c r="L81" s="147"/>
      <c r="M81" s="153"/>
      <c r="N81" s="147"/>
      <c r="O81" s="141"/>
      <c r="P81" s="141"/>
      <c r="Q81" s="151"/>
      <c r="R81" s="154"/>
      <c r="S81" s="154"/>
    </row>
    <row r="82" ht="33.75" customHeight="1">
      <c r="A82" s="154"/>
      <c r="B82" s="154"/>
      <c r="C82" s="147">
        <f>IFERROR(__xludf.DUMMYFUNCTION("""COMPUTED_VALUE"""),693068.0)</f>
        <v>693068</v>
      </c>
      <c r="D82" s="148" t="str">
        <f>IFERROR(__xludf.DUMMYFUNCTION("""COMPUTED_VALUE"""),"Negotiation Foundations")</f>
        <v>Negotiation Foundations</v>
      </c>
      <c r="E82" s="147" t="str">
        <f>IFERROR(__xludf.DUMMYFUNCTION("""COMPUTED_VALUE"""),"General")</f>
        <v>General</v>
      </c>
      <c r="F82" s="141" t="str">
        <f>IFERROR(__xludf.DUMMYFUNCTION("""COMPUTED_VALUE"""),"Beginner + Intermediate")</f>
        <v>Beginner + Intermediate</v>
      </c>
      <c r="G82" s="143">
        <f>IFERROR(__xludf.DUMMYFUNCTION("""COMPUTED_VALUE"""),0.04548611111111111)</f>
        <v>0.04548611111</v>
      </c>
      <c r="H82" s="151"/>
      <c r="I82" s="154"/>
      <c r="J82" s="154"/>
      <c r="K82" s="154"/>
      <c r="L82" s="147"/>
      <c r="M82" s="153"/>
      <c r="N82" s="147"/>
      <c r="O82" s="141"/>
      <c r="P82" s="141"/>
      <c r="Q82" s="151"/>
      <c r="R82" s="154"/>
      <c r="S82" s="154"/>
    </row>
    <row r="83" ht="33.75" customHeight="1">
      <c r="A83" s="154"/>
      <c r="B83" s="154"/>
      <c r="C83" s="147">
        <f>IFERROR(__xludf.DUMMYFUNCTION("""COMPUTED_VALUE"""),2823321.0)</f>
        <v>2823321</v>
      </c>
      <c r="D83" s="148" t="str">
        <f>IFERROR(__xludf.DUMMYFUNCTION("""COMPUTED_VALUE"""),"Communicating with Transparency")</f>
        <v>Communicating with Transparency</v>
      </c>
      <c r="E83" s="147" t="str">
        <f>IFERROR(__xludf.DUMMYFUNCTION("""COMPUTED_VALUE"""),"General")</f>
        <v>General</v>
      </c>
      <c r="F83" s="141" t="str">
        <f>IFERROR(__xludf.DUMMYFUNCTION("""COMPUTED_VALUE"""),"Beginner + Intermediate")</f>
        <v>Beginner + Intermediate</v>
      </c>
      <c r="G83" s="143">
        <f>IFERROR(__xludf.DUMMYFUNCTION("""COMPUTED_VALUE"""),0.026203703703703705)</f>
        <v>0.0262037037</v>
      </c>
      <c r="H83" s="151"/>
      <c r="I83" s="154"/>
      <c r="J83" s="154"/>
      <c r="K83" s="154"/>
      <c r="L83" s="147"/>
      <c r="M83" s="153"/>
      <c r="N83" s="147"/>
      <c r="O83" s="141"/>
      <c r="P83" s="141"/>
      <c r="Q83" s="151"/>
      <c r="R83" s="154"/>
      <c r="S83" s="154"/>
    </row>
    <row r="84" ht="33.75" customHeight="1">
      <c r="A84" s="154"/>
      <c r="B84" s="154"/>
      <c r="C84" s="147">
        <f>IFERROR(__xludf.DUMMYFUNCTION("""COMPUTED_VALUE"""),2816032.0)</f>
        <v>2816032</v>
      </c>
      <c r="D84" s="148" t="str">
        <f>IFERROR(__xludf.DUMMYFUNCTION("""COMPUTED_VALUE"""),"Presenting Technical Information with Stories")</f>
        <v>Presenting Technical Information with Stories</v>
      </c>
      <c r="E84" s="147" t="str">
        <f>IFERROR(__xludf.DUMMYFUNCTION("""COMPUTED_VALUE"""),"General")</f>
        <v>General</v>
      </c>
      <c r="F84" s="141" t="str">
        <f>IFERROR(__xludf.DUMMYFUNCTION("""COMPUTED_VALUE"""),"Beginner + Intermediate")</f>
        <v>Beginner + Intermediate</v>
      </c>
      <c r="G84" s="143">
        <f>IFERROR(__xludf.DUMMYFUNCTION("""COMPUTED_VALUE"""),0.021828703703703704)</f>
        <v>0.0218287037</v>
      </c>
      <c r="H84" s="151"/>
      <c r="I84" s="154"/>
      <c r="J84" s="154"/>
      <c r="K84" s="154"/>
      <c r="L84" s="147"/>
      <c r="M84" s="153"/>
      <c r="N84" s="147"/>
      <c r="O84" s="141"/>
      <c r="P84" s="141"/>
      <c r="Q84" s="151"/>
      <c r="R84" s="154"/>
      <c r="S84" s="154"/>
    </row>
    <row r="85" ht="33.75" customHeight="1">
      <c r="A85" s="154"/>
      <c r="B85" s="154"/>
      <c r="C85" s="147">
        <f>IFERROR(__xludf.DUMMYFUNCTION("""COMPUTED_VALUE"""),808669.0)</f>
        <v>808669</v>
      </c>
      <c r="D85" s="148" t="str">
        <f>IFERROR(__xludf.DUMMYFUNCTION("""COMPUTED_VALUE"""),"Building Business Relationships")</f>
        <v>Building Business Relationships</v>
      </c>
      <c r="E85" s="147" t="str">
        <f>IFERROR(__xludf.DUMMYFUNCTION("""COMPUTED_VALUE"""),"General")</f>
        <v>General</v>
      </c>
      <c r="F85" s="141" t="str">
        <f>IFERROR(__xludf.DUMMYFUNCTION("""COMPUTED_VALUE"""),"Beginner + Intermediate")</f>
        <v>Beginner + Intermediate</v>
      </c>
      <c r="G85" s="143">
        <f>IFERROR(__xludf.DUMMYFUNCTION("""COMPUTED_VALUE"""),0.03993055555555555)</f>
        <v>0.03993055556</v>
      </c>
      <c r="H85" s="151"/>
      <c r="I85" s="154"/>
      <c r="J85" s="154"/>
      <c r="K85" s="154"/>
      <c r="L85" s="147"/>
      <c r="M85" s="153"/>
      <c r="N85" s="147"/>
      <c r="O85" s="141"/>
      <c r="P85" s="141"/>
      <c r="Q85" s="151"/>
      <c r="R85" s="154"/>
      <c r="S85" s="154"/>
    </row>
    <row r="86" ht="33.75" customHeight="1">
      <c r="A86" s="154"/>
      <c r="B86" s="154"/>
      <c r="C86" s="147">
        <f>IFERROR(__xludf.DUMMYFUNCTION("""COMPUTED_VALUE"""),700791.0)</f>
        <v>700791</v>
      </c>
      <c r="D86" s="148" t="str">
        <f>IFERROR(__xludf.DUMMYFUNCTION("""COMPUTED_VALUE"""),"Building Trust")</f>
        <v>Building Trust</v>
      </c>
      <c r="E86" s="147" t="str">
        <f>IFERROR(__xludf.DUMMYFUNCTION("""COMPUTED_VALUE"""),"General")</f>
        <v>General</v>
      </c>
      <c r="F86" s="141" t="str">
        <f>IFERROR(__xludf.DUMMYFUNCTION("""COMPUTED_VALUE"""),"Beginner + Intermediate")</f>
        <v>Beginner + Intermediate</v>
      </c>
      <c r="G86" s="143">
        <f>IFERROR(__xludf.DUMMYFUNCTION("""COMPUTED_VALUE"""),0.040219907407407406)</f>
        <v>0.04021990741</v>
      </c>
      <c r="H86" s="151"/>
      <c r="I86" s="154"/>
      <c r="J86" s="154"/>
      <c r="K86" s="154"/>
      <c r="L86" s="147"/>
      <c r="M86" s="153"/>
      <c r="N86" s="147"/>
      <c r="O86" s="141"/>
      <c r="P86" s="141"/>
      <c r="Q86" s="151"/>
      <c r="R86" s="154"/>
      <c r="S86" s="154"/>
    </row>
    <row r="87" ht="33.75" customHeight="1">
      <c r="A87" s="154"/>
      <c r="B87" s="154"/>
      <c r="C87" s="147">
        <f>IFERROR(__xludf.DUMMYFUNCTION("""COMPUTED_VALUE"""),653220.0)</f>
        <v>653220</v>
      </c>
      <c r="D87" s="148" t="str">
        <f>IFERROR(__xludf.DUMMYFUNCTION("""COMPUTED_VALUE"""),"Improving Your Listening Skills")</f>
        <v>Improving Your Listening Skills</v>
      </c>
      <c r="E87" s="147" t="str">
        <f>IFERROR(__xludf.DUMMYFUNCTION("""COMPUTED_VALUE"""),"General")</f>
        <v>General</v>
      </c>
      <c r="F87" s="141" t="str">
        <f>IFERROR(__xludf.DUMMYFUNCTION("""COMPUTED_VALUE"""),"Beginner + Intermediate")</f>
        <v>Beginner + Intermediate</v>
      </c>
      <c r="G87" s="143">
        <f>IFERROR(__xludf.DUMMYFUNCTION("""COMPUTED_VALUE"""),0.020162037037037037)</f>
        <v>0.02016203704</v>
      </c>
      <c r="H87" s="151"/>
      <c r="I87" s="154"/>
      <c r="J87" s="154"/>
      <c r="K87" s="154"/>
      <c r="L87" s="147"/>
      <c r="M87" s="153"/>
      <c r="N87" s="147"/>
      <c r="O87" s="141"/>
      <c r="P87" s="141"/>
      <c r="Q87" s="151"/>
      <c r="R87" s="154"/>
      <c r="S87" s="154"/>
    </row>
    <row r="88" ht="33.75" customHeight="1">
      <c r="A88" s="154"/>
      <c r="B88" s="154"/>
      <c r="C88" s="147">
        <f>IFERROR(__xludf.DUMMYFUNCTION("""COMPUTED_VALUE"""),743144.0)</f>
        <v>743144</v>
      </c>
      <c r="D88" s="148" t="str">
        <f>IFERROR(__xludf.DUMMYFUNCTION("""COMPUTED_VALUE"""),"Preparing for Successful Communication")</f>
        <v>Preparing for Successful Communication</v>
      </c>
      <c r="E88" s="147" t="str">
        <f>IFERROR(__xludf.DUMMYFUNCTION("""COMPUTED_VALUE"""),"General")</f>
        <v>General</v>
      </c>
      <c r="F88" s="141" t="str">
        <f>IFERROR(__xludf.DUMMYFUNCTION("""COMPUTED_VALUE"""),"Intermediate")</f>
        <v>Intermediate</v>
      </c>
      <c r="G88" s="143">
        <f>IFERROR(__xludf.DUMMYFUNCTION("""COMPUTED_VALUE"""),0.044270833333333336)</f>
        <v>0.04427083333</v>
      </c>
      <c r="H88" s="151"/>
      <c r="I88" s="154"/>
      <c r="J88" s="154"/>
      <c r="K88" s="154"/>
      <c r="L88" s="147"/>
      <c r="M88" s="153"/>
      <c r="N88" s="147"/>
      <c r="O88" s="141"/>
      <c r="P88" s="141"/>
      <c r="Q88" s="151"/>
      <c r="R88" s="154"/>
      <c r="S88" s="154"/>
    </row>
    <row r="89" ht="33.75" customHeight="1">
      <c r="A89" s="154"/>
      <c r="B89" s="154"/>
      <c r="C89" s="147">
        <f>IFERROR(__xludf.DUMMYFUNCTION("""COMPUTED_VALUE"""),2814066.0)</f>
        <v>2814066</v>
      </c>
      <c r="D89" s="148" t="str">
        <f>IFERROR(__xludf.DUMMYFUNCTION("""COMPUTED_VALUE"""),"Leading with Kindness and Strength")</f>
        <v>Leading with Kindness and Strength</v>
      </c>
      <c r="E89" s="147" t="str">
        <f>IFERROR(__xludf.DUMMYFUNCTION("""COMPUTED_VALUE"""),"General")</f>
        <v>General</v>
      </c>
      <c r="F89" s="141" t="str">
        <f>IFERROR(__xludf.DUMMYFUNCTION("""COMPUTED_VALUE"""),"Intermediate")</f>
        <v>Intermediate</v>
      </c>
      <c r="G89" s="143">
        <f>IFERROR(__xludf.DUMMYFUNCTION("""COMPUTED_VALUE"""),0.02802083333333333)</f>
        <v>0.02802083333</v>
      </c>
      <c r="H89" s="151"/>
      <c r="I89" s="154"/>
      <c r="J89" s="154"/>
      <c r="K89" s="154"/>
      <c r="L89" s="147"/>
      <c r="M89" s="153"/>
      <c r="N89" s="147"/>
      <c r="O89" s="141"/>
      <c r="P89" s="141"/>
      <c r="Q89" s="151"/>
      <c r="R89" s="154"/>
      <c r="S89" s="154"/>
    </row>
    <row r="90" ht="33.75" customHeight="1">
      <c r="A90" s="154"/>
      <c r="B90" s="154"/>
      <c r="C90" s="147">
        <f>IFERROR(__xludf.DUMMYFUNCTION("""COMPUTED_VALUE"""),2839042.0)</f>
        <v>2839042</v>
      </c>
      <c r="D90" s="150" t="str">
        <f>IFERROR(__xludf.DUMMYFUNCTION("""COMPUTED_VALUE"""),"Successful Networking")</f>
        <v>Successful Networking</v>
      </c>
      <c r="E90" s="147" t="str">
        <f>IFERROR(__xludf.DUMMYFUNCTION("""COMPUTED_VALUE"""),"General")</f>
        <v>General</v>
      </c>
      <c r="F90" s="141" t="str">
        <f>IFERROR(__xludf.DUMMYFUNCTION("""COMPUTED_VALUE"""),"Intermediate")</f>
        <v>Intermediate</v>
      </c>
      <c r="G90" s="143">
        <f>IFERROR(__xludf.DUMMYFUNCTION("""COMPUTED_VALUE"""),0.021527777777777778)</f>
        <v>0.02152777778</v>
      </c>
      <c r="H90" s="151"/>
      <c r="I90" s="154"/>
      <c r="J90" s="154"/>
      <c r="K90" s="154"/>
      <c r="L90" s="147"/>
      <c r="M90" s="153"/>
      <c r="N90" s="147"/>
      <c r="O90" s="141"/>
      <c r="P90" s="141"/>
      <c r="Q90" s="151"/>
      <c r="R90" s="154"/>
      <c r="S90" s="154"/>
    </row>
    <row r="91" ht="33.75" customHeight="1">
      <c r="A91" s="154"/>
      <c r="B91" s="154"/>
      <c r="C91" s="147">
        <f>IFERROR(__xludf.DUMMYFUNCTION("""COMPUTED_VALUE"""),2825490.0)</f>
        <v>2825490</v>
      </c>
      <c r="D91" s="150" t="str">
        <f>IFERROR(__xludf.DUMMYFUNCTION("""COMPUTED_VALUE"""),"Building Your Visibility as a Leader")</f>
        <v>Building Your Visibility as a Leader</v>
      </c>
      <c r="E91" s="147" t="str">
        <f>IFERROR(__xludf.DUMMYFUNCTION("""COMPUTED_VALUE"""),"General")</f>
        <v>General</v>
      </c>
      <c r="F91" s="141" t="str">
        <f>IFERROR(__xludf.DUMMYFUNCTION("""COMPUTED_VALUE"""),"Intermediate")</f>
        <v>Intermediate</v>
      </c>
      <c r="G91" s="143">
        <f>IFERROR(__xludf.DUMMYFUNCTION("""COMPUTED_VALUE"""),0.027372685185185184)</f>
        <v>0.02737268519</v>
      </c>
      <c r="H91" s="151"/>
      <c r="I91" s="154"/>
      <c r="J91" s="154"/>
      <c r="K91" s="154"/>
      <c r="L91" s="147"/>
      <c r="M91" s="153"/>
      <c r="N91" s="147"/>
      <c r="O91" s="141"/>
      <c r="P91" s="141"/>
      <c r="Q91" s="151"/>
      <c r="R91" s="154"/>
      <c r="S91" s="154"/>
    </row>
    <row r="92" ht="33.75" customHeight="1">
      <c r="A92" s="154"/>
      <c r="B92" s="154"/>
      <c r="C92" s="147">
        <f>IFERROR(__xludf.DUMMYFUNCTION("""COMPUTED_VALUE"""),711805.0)</f>
        <v>711805</v>
      </c>
      <c r="D92" s="150" t="str">
        <f>IFERROR(__xludf.DUMMYFUNCTION("""COMPUTED_VALUE"""),"Advanced Business Development: Communication and Negotiation")</f>
        <v>Advanced Business Development: Communication and Negotiation</v>
      </c>
      <c r="E92" s="147" t="str">
        <f>IFERROR(__xludf.DUMMYFUNCTION("""COMPUTED_VALUE"""),"General")</f>
        <v>General</v>
      </c>
      <c r="F92" s="141" t="str">
        <f>IFERROR(__xludf.DUMMYFUNCTION("""COMPUTED_VALUE"""),"Advanced")</f>
        <v>Advanced</v>
      </c>
      <c r="G92" s="143">
        <f>IFERROR(__xludf.DUMMYFUNCTION("""COMPUTED_VALUE"""),0.031516203703703706)</f>
        <v>0.0315162037</v>
      </c>
      <c r="H92" s="151"/>
      <c r="I92" s="154"/>
      <c r="J92" s="154"/>
      <c r="K92" s="154"/>
      <c r="L92" s="147"/>
      <c r="M92" s="153"/>
      <c r="N92" s="147"/>
      <c r="O92" s="141"/>
      <c r="P92" s="141"/>
      <c r="Q92" s="151"/>
      <c r="R92" s="154"/>
      <c r="S92" s="154"/>
    </row>
    <row r="93" ht="33.75" customHeight="1">
      <c r="A93" s="154"/>
      <c r="B93" s="154"/>
      <c r="C93" s="147">
        <f>IFERROR(__xludf.DUMMYFUNCTION("""COMPUTED_VALUE"""),2897258.0)</f>
        <v>2897258</v>
      </c>
      <c r="D93" s="150" t="str">
        <f>IFERROR(__xludf.DUMMYFUNCTION("""COMPUTED_VALUE"""),"Use Your Strengths for Impact and Influence at Work")</f>
        <v>Use Your Strengths for Impact and Influence at Work</v>
      </c>
      <c r="E93" s="147" t="str">
        <f>IFERROR(__xludf.DUMMYFUNCTION("""COMPUTED_VALUE"""),"General")</f>
        <v>General</v>
      </c>
      <c r="F93" s="141" t="str">
        <f>IFERROR(__xludf.DUMMYFUNCTION("""COMPUTED_VALUE"""),"General")</f>
        <v>General</v>
      </c>
      <c r="G93" s="143">
        <f>IFERROR(__xludf.DUMMYFUNCTION("""COMPUTED_VALUE"""),0.022060185185185186)</f>
        <v>0.02206018519</v>
      </c>
      <c r="H93" s="151"/>
      <c r="I93" s="154"/>
      <c r="J93" s="154"/>
      <c r="K93" s="154"/>
      <c r="L93" s="147"/>
      <c r="M93" s="153"/>
      <c r="N93" s="147"/>
      <c r="O93" s="141"/>
      <c r="P93" s="141"/>
      <c r="Q93" s="151"/>
      <c r="R93" s="154"/>
      <c r="S93" s="154"/>
    </row>
    <row r="94" ht="33.75" customHeight="1">
      <c r="A94" s="154"/>
      <c r="B94" s="154"/>
      <c r="C94" s="147">
        <f>IFERROR(__xludf.DUMMYFUNCTION("""COMPUTED_VALUE"""),3010524.0)</f>
        <v>3010524</v>
      </c>
      <c r="D94" s="150" t="str">
        <f>IFERROR(__xludf.DUMMYFUNCTION("""COMPUTED_VALUE"""),"We Need to Talk (Blinkist Summary)")</f>
        <v>We Need to Talk (Blinkist Summary)</v>
      </c>
      <c r="E94" s="147" t="str">
        <f>IFERROR(__xludf.DUMMYFUNCTION("""COMPUTED_VALUE"""),"General")</f>
        <v>General</v>
      </c>
      <c r="F94" s="141" t="str">
        <f>IFERROR(__xludf.DUMMYFUNCTION("""COMPUTED_VALUE"""),"General")</f>
        <v>General</v>
      </c>
      <c r="G94" s="143">
        <f>IFERROR(__xludf.DUMMYFUNCTION("""COMPUTED_VALUE"""),0.01425925925925926)</f>
        <v>0.01425925926</v>
      </c>
      <c r="H94" s="151"/>
      <c r="I94" s="154"/>
      <c r="J94" s="154"/>
      <c r="K94" s="154"/>
      <c r="L94" s="147"/>
      <c r="M94" s="153"/>
      <c r="N94" s="147"/>
      <c r="O94" s="141"/>
      <c r="P94" s="141"/>
      <c r="Q94" s="151"/>
      <c r="R94" s="154"/>
      <c r="S94" s="154"/>
    </row>
    <row r="95" ht="33.75" customHeight="1">
      <c r="A95" s="154"/>
      <c r="B95" s="154"/>
      <c r="C95" s="147">
        <f>IFERROR(__xludf.DUMMYFUNCTION("""COMPUTED_VALUE"""),3011513.0)</f>
        <v>3011513</v>
      </c>
      <c r="D95" s="150" t="str">
        <f>IFERROR(__xludf.DUMMYFUNCTION("""COMPUTED_VALUE"""),"How to Talk to Anyone (Blinkist Summary)")</f>
        <v>How to Talk to Anyone (Blinkist Summary)</v>
      </c>
      <c r="E95" s="147" t="str">
        <f>IFERROR(__xludf.DUMMYFUNCTION("""COMPUTED_VALUE"""),"General")</f>
        <v>General</v>
      </c>
      <c r="F95" s="141" t="str">
        <f>IFERROR(__xludf.DUMMYFUNCTION("""COMPUTED_VALUE"""),"General")</f>
        <v>General</v>
      </c>
      <c r="G95" s="143">
        <f>IFERROR(__xludf.DUMMYFUNCTION("""COMPUTED_VALUE"""),0.017361111111111112)</f>
        <v>0.01736111111</v>
      </c>
      <c r="H95" s="151"/>
      <c r="I95" s="154"/>
      <c r="J95" s="154"/>
      <c r="K95" s="154"/>
      <c r="L95" s="147"/>
      <c r="M95" s="153"/>
      <c r="N95" s="147"/>
      <c r="O95" s="141"/>
      <c r="P95" s="141"/>
      <c r="Q95" s="151"/>
      <c r="R95" s="154"/>
      <c r="S95" s="154"/>
    </row>
    <row r="96" ht="33.75" customHeight="1">
      <c r="A96" s="154"/>
      <c r="B96" s="154"/>
      <c r="C96" s="147">
        <f>IFERROR(__xludf.DUMMYFUNCTION("""COMPUTED_VALUE"""),482051.0)</f>
        <v>482051</v>
      </c>
      <c r="D96" s="150" t="str">
        <f>IFERROR(__xludf.DUMMYFUNCTION("""COMPUTED_VALUE"""),"Managing Office Politics")</f>
        <v>Managing Office Politics</v>
      </c>
      <c r="E96" s="147" t="str">
        <f>IFERROR(__xludf.DUMMYFUNCTION("""COMPUTED_VALUE"""),"General")</f>
        <v>General</v>
      </c>
      <c r="F96" s="141" t="str">
        <f>IFERROR(__xludf.DUMMYFUNCTION("""COMPUTED_VALUE"""),"General")</f>
        <v>General</v>
      </c>
      <c r="G96" s="143">
        <f>IFERROR(__xludf.DUMMYFUNCTION("""COMPUTED_VALUE"""),0.018877314814814816)</f>
        <v>0.01887731481</v>
      </c>
      <c r="H96" s="151"/>
      <c r="I96" s="154"/>
      <c r="J96" s="154"/>
      <c r="K96" s="154"/>
      <c r="L96" s="147"/>
      <c r="M96" s="153"/>
      <c r="N96" s="147"/>
      <c r="O96" s="141"/>
      <c r="P96" s="141"/>
      <c r="Q96" s="151"/>
      <c r="R96" s="154"/>
      <c r="S96" s="154"/>
    </row>
    <row r="97" ht="33.75" customHeight="1">
      <c r="A97" s="154"/>
      <c r="B97" s="154"/>
      <c r="C97" s="147">
        <f>IFERROR(__xludf.DUMMYFUNCTION("""COMPUTED_VALUE"""),359601.0)</f>
        <v>359601</v>
      </c>
      <c r="D97" s="150" t="str">
        <f>IFERROR(__xludf.DUMMYFUNCTION("""COMPUTED_VALUE"""),"Communicating with Confidence")</f>
        <v>Communicating with Confidence</v>
      </c>
      <c r="E97" s="147" t="str">
        <f>IFERROR(__xludf.DUMMYFUNCTION("""COMPUTED_VALUE"""),"General")</f>
        <v>General</v>
      </c>
      <c r="F97" s="141" t="str">
        <f>IFERROR(__xludf.DUMMYFUNCTION("""COMPUTED_VALUE"""),"General")</f>
        <v>General</v>
      </c>
      <c r="G97" s="143">
        <f>IFERROR(__xludf.DUMMYFUNCTION("""COMPUTED_VALUE"""),0.053321759259259256)</f>
        <v>0.05332175926</v>
      </c>
      <c r="H97" s="151"/>
      <c r="I97" s="154"/>
      <c r="J97" s="154"/>
      <c r="K97" s="154"/>
      <c r="L97" s="147"/>
      <c r="M97" s="153"/>
      <c r="N97" s="147"/>
      <c r="O97" s="141"/>
      <c r="P97" s="141"/>
      <c r="Q97" s="151"/>
      <c r="R97" s="154"/>
      <c r="S97" s="154"/>
    </row>
    <row r="98" ht="33.75" customHeight="1">
      <c r="A98" s="154"/>
      <c r="B98" s="154"/>
      <c r="C98" s="147">
        <f>IFERROR(__xludf.DUMMYFUNCTION("""COMPUTED_VALUE"""),2825076.0)</f>
        <v>2825076</v>
      </c>
      <c r="D98" s="150" t="str">
        <f>IFERROR(__xludf.DUMMYFUNCTION("""COMPUTED_VALUE"""),"Starting a Memorable Conversation")</f>
        <v>Starting a Memorable Conversation</v>
      </c>
      <c r="E98" s="147" t="str">
        <f>IFERROR(__xludf.DUMMYFUNCTION("""COMPUTED_VALUE"""),"General")</f>
        <v>General</v>
      </c>
      <c r="F98" s="141" t="str">
        <f>IFERROR(__xludf.DUMMYFUNCTION("""COMPUTED_VALUE"""),"General")</f>
        <v>General</v>
      </c>
      <c r="G98" s="143">
        <f>IFERROR(__xludf.DUMMYFUNCTION("""COMPUTED_VALUE"""),0.02017361111111111)</f>
        <v>0.02017361111</v>
      </c>
      <c r="H98" s="151"/>
      <c r="I98" s="154"/>
      <c r="J98" s="154"/>
      <c r="K98" s="154"/>
      <c r="L98" s="147"/>
      <c r="M98" s="153"/>
      <c r="N98" s="147"/>
      <c r="O98" s="141"/>
      <c r="P98" s="141"/>
      <c r="Q98" s="151"/>
      <c r="R98" s="154"/>
      <c r="S98" s="154"/>
    </row>
    <row r="99" ht="33.75" customHeight="1">
      <c r="A99" s="154"/>
      <c r="B99" s="154"/>
      <c r="C99" s="147">
        <f>IFERROR(__xludf.DUMMYFUNCTION("""COMPUTED_VALUE"""),2825261.0)</f>
        <v>2825261</v>
      </c>
      <c r="D99" s="150" t="str">
        <f>IFERROR(__xludf.DUMMYFUNCTION("""COMPUTED_VALUE"""),"Asserting Yourself, an Empowered Choice")</f>
        <v>Asserting Yourself, an Empowered Choice</v>
      </c>
      <c r="E99" s="147" t="str">
        <f>IFERROR(__xludf.DUMMYFUNCTION("""COMPUTED_VALUE"""),"General")</f>
        <v>General</v>
      </c>
      <c r="F99" s="141" t="str">
        <f>IFERROR(__xludf.DUMMYFUNCTION("""COMPUTED_VALUE"""),"General")</f>
        <v>General</v>
      </c>
      <c r="G99" s="143">
        <f>IFERROR(__xludf.DUMMYFUNCTION("""COMPUTED_VALUE"""),0.021111111111111112)</f>
        <v>0.02111111111</v>
      </c>
      <c r="H99" s="151"/>
      <c r="I99" s="154"/>
      <c r="J99" s="154"/>
      <c r="K99" s="154"/>
      <c r="L99" s="147"/>
      <c r="M99" s="153"/>
      <c r="N99" s="147"/>
      <c r="O99" s="141"/>
      <c r="P99" s="141"/>
      <c r="Q99" s="151"/>
      <c r="R99" s="154"/>
      <c r="S99" s="154"/>
    </row>
    <row r="100" ht="33.75" customHeight="1">
      <c r="A100" s="154"/>
      <c r="B100" s="154"/>
      <c r="C100" s="147">
        <f>IFERROR(__xludf.DUMMYFUNCTION("""COMPUTED_VALUE"""),2976136.0)</f>
        <v>2976136</v>
      </c>
      <c r="D100" s="150" t="str">
        <f>IFERROR(__xludf.DUMMYFUNCTION("""COMPUTED_VALUE"""),"Zoom: Leading Effective and Engaging Calls")</f>
        <v>Zoom: Leading Effective and Engaging Calls</v>
      </c>
      <c r="E100" s="147" t="str">
        <f>IFERROR(__xludf.DUMMYFUNCTION("""COMPUTED_VALUE"""),"General")</f>
        <v>General</v>
      </c>
      <c r="F100" s="141" t="str">
        <f>IFERROR(__xludf.DUMMYFUNCTION("""COMPUTED_VALUE"""),"General")</f>
        <v>General</v>
      </c>
      <c r="G100" s="143">
        <f>IFERROR(__xludf.DUMMYFUNCTION("""COMPUTED_VALUE"""),0.07379629629629629)</f>
        <v>0.0737962963</v>
      </c>
      <c r="H100" s="151"/>
      <c r="I100" s="154"/>
      <c r="J100" s="154"/>
      <c r="K100" s="154"/>
      <c r="L100" s="147"/>
      <c r="M100" s="153"/>
      <c r="N100" s="147"/>
      <c r="O100" s="141"/>
      <c r="P100" s="141"/>
      <c r="Q100" s="151"/>
      <c r="R100" s="154"/>
      <c r="S100" s="154"/>
    </row>
    <row r="101" ht="33.75" customHeight="1">
      <c r="A101" s="154"/>
      <c r="B101" s="154"/>
      <c r="C101" s="147">
        <f>IFERROR(__xludf.DUMMYFUNCTION("""COMPUTED_VALUE"""),5025098.0)</f>
        <v>5025098</v>
      </c>
      <c r="D101" s="150" t="str">
        <f>IFERROR(__xludf.DUMMYFUNCTION("""COMPUTED_VALUE"""),"Skills for Inclusive Conversations")</f>
        <v>Skills for Inclusive Conversations</v>
      </c>
      <c r="E101" s="147" t="str">
        <f>IFERROR(__xludf.DUMMYFUNCTION("""COMPUTED_VALUE"""),"General")</f>
        <v>General</v>
      </c>
      <c r="F101" s="141" t="str">
        <f>IFERROR(__xludf.DUMMYFUNCTION("""COMPUTED_VALUE"""),"General")</f>
        <v>General</v>
      </c>
      <c r="G101" s="143">
        <f>IFERROR(__xludf.DUMMYFUNCTION("""COMPUTED_VALUE"""),0.036944444444444446)</f>
        <v>0.03694444444</v>
      </c>
      <c r="H101" s="151"/>
      <c r="I101" s="154"/>
      <c r="J101" s="154"/>
      <c r="K101" s="154"/>
      <c r="L101" s="147"/>
      <c r="M101" s="153"/>
      <c r="N101" s="147"/>
      <c r="O101" s="141"/>
      <c r="P101" s="141"/>
      <c r="Q101" s="151"/>
      <c r="R101" s="154"/>
      <c r="S101" s="154"/>
    </row>
    <row r="102" ht="33.75" customHeight="1">
      <c r="A102" s="154"/>
      <c r="B102" s="154"/>
      <c r="C102" s="147">
        <f>IFERROR(__xludf.DUMMYFUNCTION("""COMPUTED_VALUE"""),2825731.0)</f>
        <v>2825731</v>
      </c>
      <c r="D102" s="150" t="str">
        <f>IFERROR(__xludf.DUMMYFUNCTION("""COMPUTED_VALUE"""),"Complete Confidence in Minutes: Weekly")</f>
        <v>Complete Confidence in Minutes: Weekly</v>
      </c>
      <c r="E102" s="147" t="str">
        <f>IFERROR(__xludf.DUMMYFUNCTION("""COMPUTED_VALUE"""),"General")</f>
        <v>General</v>
      </c>
      <c r="F102" s="141" t="str">
        <f>IFERROR(__xludf.DUMMYFUNCTION("""COMPUTED_VALUE"""),"General")</f>
        <v>General</v>
      </c>
      <c r="G102" s="143">
        <f>IFERROR(__xludf.DUMMYFUNCTION("""COMPUTED_VALUE"""),0.04535879629629629)</f>
        <v>0.0453587963</v>
      </c>
      <c r="H102" s="151"/>
      <c r="I102" s="154"/>
      <c r="J102" s="154"/>
      <c r="K102" s="154"/>
      <c r="L102" s="147"/>
      <c r="M102" s="153"/>
      <c r="N102" s="147"/>
      <c r="O102" s="141"/>
      <c r="P102" s="141"/>
      <c r="Q102" s="151"/>
      <c r="R102" s="154"/>
      <c r="S102" s="154"/>
    </row>
    <row r="103" ht="33.75" customHeight="1">
      <c r="A103" s="154"/>
      <c r="B103" s="154"/>
      <c r="C103" s="147">
        <f>IFERROR(__xludf.DUMMYFUNCTION("""COMPUTED_VALUE"""),2353949.0)</f>
        <v>2353949</v>
      </c>
      <c r="D103" s="150" t="str">
        <f>IFERROR(__xludf.DUMMYFUNCTION("""COMPUTED_VALUE"""),"How to Own a Room")</f>
        <v>How to Own a Room</v>
      </c>
      <c r="E103" s="147" t="str">
        <f>IFERROR(__xludf.DUMMYFUNCTION("""COMPUTED_VALUE"""),"General")</f>
        <v>General</v>
      </c>
      <c r="F103" s="141" t="str">
        <f>IFERROR(__xludf.DUMMYFUNCTION("""COMPUTED_VALUE"""),"General")</f>
        <v>General</v>
      </c>
      <c r="G103" s="143">
        <f>IFERROR(__xludf.DUMMYFUNCTION("""COMPUTED_VALUE"""),0.037905092592592594)</f>
        <v>0.03790509259</v>
      </c>
      <c r="H103" s="151"/>
      <c r="I103" s="154"/>
      <c r="J103" s="154"/>
      <c r="K103" s="154"/>
      <c r="L103" s="147"/>
      <c r="M103" s="153"/>
      <c r="N103" s="147"/>
      <c r="O103" s="141"/>
      <c r="P103" s="141"/>
      <c r="Q103" s="151"/>
      <c r="R103" s="154"/>
      <c r="S103" s="154"/>
    </row>
    <row r="104" ht="33.75" customHeight="1">
      <c r="A104" s="154"/>
      <c r="B104" s="154"/>
      <c r="C104" s="147">
        <f>IFERROR(__xludf.DUMMYFUNCTION("""COMPUTED_VALUE"""),2849185.0)</f>
        <v>2849185</v>
      </c>
      <c r="D104" s="150" t="str">
        <f>IFERROR(__xludf.DUMMYFUNCTION("""COMPUTED_VALUE"""),"Building Relationships While Working from Home")</f>
        <v>Building Relationships While Working from Home</v>
      </c>
      <c r="E104" s="147" t="str">
        <f>IFERROR(__xludf.DUMMYFUNCTION("""COMPUTED_VALUE"""),"General")</f>
        <v>General</v>
      </c>
      <c r="F104" s="141" t="str">
        <f>IFERROR(__xludf.DUMMYFUNCTION("""COMPUTED_VALUE"""),"General")</f>
        <v>General</v>
      </c>
      <c r="G104" s="143">
        <f>IFERROR(__xludf.DUMMYFUNCTION("""COMPUTED_VALUE"""),0.01565972222222222)</f>
        <v>0.01565972222</v>
      </c>
      <c r="H104" s="151"/>
      <c r="I104" s="154"/>
      <c r="J104" s="154"/>
      <c r="K104" s="154"/>
      <c r="L104" s="147"/>
      <c r="M104" s="153"/>
      <c r="N104" s="147"/>
      <c r="O104" s="141"/>
      <c r="P104" s="141"/>
      <c r="Q104" s="151"/>
      <c r="R104" s="154"/>
      <c r="S104" s="154"/>
    </row>
    <row r="105" ht="33.75" customHeight="1">
      <c r="A105" s="154"/>
      <c r="B105" s="154"/>
      <c r="C105" s="147">
        <f>IFERROR(__xludf.DUMMYFUNCTION("""COMPUTED_VALUE"""),2848321.0)</f>
        <v>2848321</v>
      </c>
      <c r="D105" s="150" t="str">
        <f>IFERROR(__xludf.DUMMYFUNCTION("""COMPUTED_VALUE"""),"Difficult Conversations: Talking About Race at Work")</f>
        <v>Difficult Conversations: Talking About Race at Work</v>
      </c>
      <c r="E105" s="147" t="str">
        <f>IFERROR(__xludf.DUMMYFUNCTION("""COMPUTED_VALUE"""),"General")</f>
        <v>General</v>
      </c>
      <c r="F105" s="141" t="str">
        <f>IFERROR(__xludf.DUMMYFUNCTION("""COMPUTED_VALUE"""),"General")</f>
        <v>General</v>
      </c>
      <c r="G105" s="143">
        <f>IFERROR(__xludf.DUMMYFUNCTION("""COMPUTED_VALUE"""),0.011284722222222222)</f>
        <v>0.01128472222</v>
      </c>
      <c r="H105" s="151"/>
      <c r="I105" s="154"/>
      <c r="J105" s="154"/>
      <c r="K105" s="154"/>
      <c r="L105" s="147"/>
      <c r="M105" s="153"/>
      <c r="N105" s="147"/>
      <c r="O105" s="141"/>
      <c r="P105" s="141"/>
      <c r="Q105" s="151"/>
      <c r="R105" s="154"/>
      <c r="S105" s="154"/>
    </row>
    <row r="106" ht="33.75" customHeight="1">
      <c r="A106" s="154"/>
      <c r="B106" s="154"/>
      <c r="C106" s="147">
        <f>IFERROR(__xludf.DUMMYFUNCTION("""COMPUTED_VALUE"""),2825696.0)</f>
        <v>2825696</v>
      </c>
      <c r="D106" s="150" t="str">
        <f>IFERROR(__xludf.DUMMYFUNCTION("""COMPUTED_VALUE"""),"Speaking Up At Work")</f>
        <v>Speaking Up At Work</v>
      </c>
      <c r="E106" s="147" t="str">
        <f>IFERROR(__xludf.DUMMYFUNCTION("""COMPUTED_VALUE"""),"General")</f>
        <v>General</v>
      </c>
      <c r="F106" s="141" t="str">
        <f>IFERROR(__xludf.DUMMYFUNCTION("""COMPUTED_VALUE"""),"General")</f>
        <v>General</v>
      </c>
      <c r="G106" s="143">
        <f>IFERROR(__xludf.DUMMYFUNCTION("""COMPUTED_VALUE"""),0.015555555555555555)</f>
        <v>0.01555555556</v>
      </c>
      <c r="H106" s="151"/>
      <c r="I106" s="154"/>
      <c r="J106" s="154"/>
      <c r="K106" s="154"/>
      <c r="L106" s="147"/>
      <c r="M106" s="153"/>
      <c r="N106" s="147"/>
      <c r="O106" s="141"/>
      <c r="P106" s="141"/>
      <c r="Q106" s="151"/>
      <c r="R106" s="154"/>
      <c r="S106" s="154"/>
    </row>
    <row r="107" ht="33.75" customHeight="1">
      <c r="A107" s="154"/>
      <c r="B107" s="154"/>
      <c r="C107" s="147">
        <f>IFERROR(__xludf.DUMMYFUNCTION("""COMPUTED_VALUE"""),2878126.0)</f>
        <v>2878126</v>
      </c>
      <c r="D107" s="150" t="str">
        <f>IFERROR(__xludf.DUMMYFUNCTION("""COMPUTED_VALUE"""),"Difficult Conversations about Politics at Work")</f>
        <v>Difficult Conversations about Politics at Work</v>
      </c>
      <c r="E107" s="147" t="str">
        <f>IFERROR(__xludf.DUMMYFUNCTION("""COMPUTED_VALUE"""),"General")</f>
        <v>General</v>
      </c>
      <c r="F107" s="141" t="str">
        <f>IFERROR(__xludf.DUMMYFUNCTION("""COMPUTED_VALUE"""),"General")</f>
        <v>General</v>
      </c>
      <c r="G107" s="143">
        <f>IFERROR(__xludf.DUMMYFUNCTION("""COMPUTED_VALUE"""),0.016689814814814814)</f>
        <v>0.01668981481</v>
      </c>
      <c r="H107" s="151"/>
      <c r="I107" s="154"/>
      <c r="J107" s="154"/>
      <c r="K107" s="154"/>
      <c r="L107" s="147"/>
      <c r="M107" s="153"/>
      <c r="N107" s="147"/>
      <c r="O107" s="141"/>
      <c r="P107" s="141"/>
      <c r="Q107" s="151"/>
      <c r="R107" s="154"/>
      <c r="S107" s="154"/>
    </row>
    <row r="108" ht="33.75" customHeight="1">
      <c r="A108" s="154"/>
      <c r="B108" s="154"/>
      <c r="C108" s="147">
        <f>IFERROR(__xludf.DUMMYFUNCTION("""COMPUTED_VALUE"""),2824373.0)</f>
        <v>2824373</v>
      </c>
      <c r="D108" s="150" t="str">
        <f>IFERROR(__xludf.DUMMYFUNCTION("""COMPUTED_VALUE"""),"The Step-by-Step Guide to Building your Thought Leadership on LinkedIn")</f>
        <v>The Step-by-Step Guide to Building your Thought Leadership on LinkedIn</v>
      </c>
      <c r="E108" s="147" t="str">
        <f>IFERROR(__xludf.DUMMYFUNCTION("""COMPUTED_VALUE"""),"General")</f>
        <v>General</v>
      </c>
      <c r="F108" s="141" t="str">
        <f>IFERROR(__xludf.DUMMYFUNCTION("""COMPUTED_VALUE"""),"General")</f>
        <v>General</v>
      </c>
      <c r="G108" s="143">
        <f>IFERROR(__xludf.DUMMYFUNCTION("""COMPUTED_VALUE"""),0.02428240740740741)</f>
        <v>0.02428240741</v>
      </c>
      <c r="H108" s="151"/>
      <c r="I108" s="154"/>
      <c r="J108" s="154"/>
      <c r="K108" s="154"/>
      <c r="L108" s="147"/>
      <c r="M108" s="153"/>
      <c r="N108" s="147"/>
      <c r="O108" s="141"/>
      <c r="P108" s="141"/>
      <c r="Q108" s="151"/>
      <c r="R108" s="154"/>
      <c r="S108" s="154"/>
    </row>
    <row r="109" ht="33.75" customHeight="1">
      <c r="A109" s="154"/>
      <c r="B109" s="154"/>
      <c r="C109" s="147">
        <f>IFERROR(__xludf.DUMMYFUNCTION("""COMPUTED_VALUE"""),2874051.0)</f>
        <v>2874051</v>
      </c>
      <c r="D109" s="150" t="str">
        <f>IFERROR(__xludf.DUMMYFUNCTION("""COMPUTED_VALUE"""),"Listen to Lead")</f>
        <v>Listen to Lead</v>
      </c>
      <c r="E109" s="147" t="str">
        <f>IFERROR(__xludf.DUMMYFUNCTION("""COMPUTED_VALUE"""),"General")</f>
        <v>General</v>
      </c>
      <c r="F109" s="141" t="str">
        <f>IFERROR(__xludf.DUMMYFUNCTION("""COMPUTED_VALUE"""),"General")</f>
        <v>General</v>
      </c>
      <c r="G109" s="143">
        <f>IFERROR(__xludf.DUMMYFUNCTION("""COMPUTED_VALUE"""),0.03459490740740741)</f>
        <v>0.03459490741</v>
      </c>
      <c r="H109" s="151"/>
      <c r="I109" s="154"/>
      <c r="J109" s="154"/>
      <c r="K109" s="154"/>
      <c r="L109" s="147"/>
      <c r="M109" s="153"/>
      <c r="N109" s="147"/>
      <c r="O109" s="141"/>
      <c r="P109" s="141"/>
      <c r="Q109" s="151"/>
      <c r="R109" s="154"/>
      <c r="S109" s="154"/>
    </row>
    <row r="110" ht="33.75" customHeight="1">
      <c r="A110" s="154"/>
      <c r="B110" s="154"/>
      <c r="C110" s="147">
        <f>IFERROR(__xludf.DUMMYFUNCTION("""COMPUTED_VALUE"""),2874052.0)</f>
        <v>2874052</v>
      </c>
      <c r="D110" s="150" t="str">
        <f>IFERROR(__xludf.DUMMYFUNCTION("""COMPUTED_VALUE"""),"Having Powerful, Advanced Conversations")</f>
        <v>Having Powerful, Advanced Conversations</v>
      </c>
      <c r="E110" s="147" t="str">
        <f>IFERROR(__xludf.DUMMYFUNCTION("""COMPUTED_VALUE"""),"General")</f>
        <v>General</v>
      </c>
      <c r="F110" s="141" t="str">
        <f>IFERROR(__xludf.DUMMYFUNCTION("""COMPUTED_VALUE"""),"General")</f>
        <v>General</v>
      </c>
      <c r="G110" s="143">
        <f>IFERROR(__xludf.DUMMYFUNCTION("""COMPUTED_VALUE"""),0.03469907407407408)</f>
        <v>0.03469907407</v>
      </c>
      <c r="H110" s="151"/>
      <c r="I110" s="154"/>
      <c r="J110" s="154"/>
      <c r="K110" s="154"/>
      <c r="L110" s="147"/>
      <c r="M110" s="153"/>
      <c r="N110" s="147"/>
      <c r="O110" s="141"/>
      <c r="P110" s="141"/>
      <c r="Q110" s="151"/>
      <c r="R110" s="154"/>
      <c r="S110" s="154"/>
    </row>
    <row r="111" ht="33.75" customHeight="1">
      <c r="A111" s="154"/>
      <c r="B111" s="154"/>
      <c r="C111" s="147">
        <f>IFERROR(__xludf.DUMMYFUNCTION("""COMPUTED_VALUE"""),2829004.0)</f>
        <v>2829004</v>
      </c>
      <c r="D111" s="150" t="str">
        <f>IFERROR(__xludf.DUMMYFUNCTION("""COMPUTED_VALUE"""),"Managing Your Emotions at Work")</f>
        <v>Managing Your Emotions at Work</v>
      </c>
      <c r="E111" s="147" t="str">
        <f>IFERROR(__xludf.DUMMYFUNCTION("""COMPUTED_VALUE"""),"General")</f>
        <v>General</v>
      </c>
      <c r="F111" s="141" t="str">
        <f>IFERROR(__xludf.DUMMYFUNCTION("""COMPUTED_VALUE"""),"General")</f>
        <v>General</v>
      </c>
      <c r="G111" s="143">
        <f>IFERROR(__xludf.DUMMYFUNCTION("""COMPUTED_VALUE"""),0.03533564814814815)</f>
        <v>0.03533564815</v>
      </c>
      <c r="H111" s="151"/>
      <c r="I111" s="154"/>
      <c r="J111" s="154"/>
      <c r="K111" s="154"/>
      <c r="L111" s="147"/>
      <c r="M111" s="153"/>
      <c r="N111" s="147"/>
      <c r="O111" s="141"/>
      <c r="P111" s="141"/>
      <c r="Q111" s="151"/>
      <c r="R111" s="154"/>
      <c r="S111" s="154"/>
    </row>
    <row r="112" ht="33.75" customHeight="1">
      <c r="A112" s="154"/>
      <c r="B112" s="154"/>
      <c r="C112" s="147">
        <f>IFERROR(__xludf.DUMMYFUNCTION("""COMPUTED_VALUE"""),2401226.0)</f>
        <v>2401226</v>
      </c>
      <c r="D112" s="150" t="str">
        <f>IFERROR(__xludf.DUMMYFUNCTION("""COMPUTED_VALUE"""),"Backgrounder: Netiquette")</f>
        <v>Backgrounder: Netiquette</v>
      </c>
      <c r="E112" s="147" t="str">
        <f>IFERROR(__xludf.DUMMYFUNCTION("""COMPUTED_VALUE"""),"General")</f>
        <v>General</v>
      </c>
      <c r="F112" s="141" t="str">
        <f>IFERROR(__xludf.DUMMYFUNCTION("""COMPUTED_VALUE"""),"General")</f>
        <v>General</v>
      </c>
      <c r="G112" s="143">
        <f>IFERROR(__xludf.DUMMYFUNCTION("""COMPUTED_VALUE"""),0.025775462962962962)</f>
        <v>0.02577546296</v>
      </c>
      <c r="H112" s="151"/>
      <c r="I112" s="154"/>
      <c r="J112" s="154"/>
      <c r="K112" s="154"/>
      <c r="L112" s="147"/>
      <c r="M112" s="153"/>
      <c r="N112" s="147"/>
      <c r="O112" s="141"/>
      <c r="P112" s="141"/>
      <c r="Q112" s="151"/>
      <c r="R112" s="154"/>
      <c r="S112" s="154"/>
    </row>
    <row r="113" ht="33.75" customHeight="1">
      <c r="A113" s="154"/>
      <c r="B113" s="154"/>
      <c r="C113" s="147">
        <f>IFERROR(__xludf.DUMMYFUNCTION("""COMPUTED_VALUE"""),2833082.0)</f>
        <v>2833082</v>
      </c>
      <c r="D113" s="150" t="str">
        <f>IFERROR(__xludf.DUMMYFUNCTION("""COMPUTED_VALUE"""),"The 10 Essentials of Influence and Persuasion")</f>
        <v>The 10 Essentials of Influence and Persuasion</v>
      </c>
      <c r="E113" s="147" t="str">
        <f>IFERROR(__xludf.DUMMYFUNCTION("""COMPUTED_VALUE"""),"General")</f>
        <v>General</v>
      </c>
      <c r="F113" s="141" t="str">
        <f>IFERROR(__xludf.DUMMYFUNCTION("""COMPUTED_VALUE"""),"General")</f>
        <v>General</v>
      </c>
      <c r="G113" s="143">
        <f>IFERROR(__xludf.DUMMYFUNCTION("""COMPUTED_VALUE"""),0.02877314814814815)</f>
        <v>0.02877314815</v>
      </c>
      <c r="H113" s="151"/>
      <c r="I113" s="154"/>
      <c r="J113" s="154"/>
      <c r="K113" s="154"/>
      <c r="L113" s="147"/>
      <c r="M113" s="153"/>
      <c r="N113" s="147"/>
      <c r="O113" s="141"/>
      <c r="P113" s="141"/>
      <c r="Q113" s="151"/>
      <c r="R113" s="154"/>
      <c r="S113" s="154"/>
    </row>
    <row r="114" ht="33.75" customHeight="1">
      <c r="A114" s="154"/>
      <c r="B114" s="154"/>
      <c r="C114" s="147">
        <f>IFERROR(__xludf.DUMMYFUNCTION("""COMPUTED_VALUE"""),2825739.0)</f>
        <v>2825739</v>
      </c>
      <c r="D114" s="150" t="str">
        <f>IFERROR(__xludf.DUMMYFUNCTION("""COMPUTED_VALUE"""),"Writing and Delivering Speeches")</f>
        <v>Writing and Delivering Speeches</v>
      </c>
      <c r="E114" s="147" t="str">
        <f>IFERROR(__xludf.DUMMYFUNCTION("""COMPUTED_VALUE"""),"General")</f>
        <v>General</v>
      </c>
      <c r="F114" s="141" t="str">
        <f>IFERROR(__xludf.DUMMYFUNCTION("""COMPUTED_VALUE"""),"General")</f>
        <v>General</v>
      </c>
      <c r="G114" s="143">
        <f>IFERROR(__xludf.DUMMYFUNCTION("""COMPUTED_VALUE"""),0.028125)</f>
        <v>0.028125</v>
      </c>
      <c r="H114" s="151"/>
      <c r="I114" s="154"/>
      <c r="J114" s="154"/>
      <c r="K114" s="154"/>
      <c r="L114" s="147"/>
      <c r="M114" s="153"/>
      <c r="N114" s="147"/>
      <c r="O114" s="141"/>
      <c r="P114" s="141"/>
      <c r="Q114" s="151"/>
      <c r="R114" s="154"/>
      <c r="S114" s="154"/>
    </row>
    <row r="115" ht="33.75" customHeight="1">
      <c r="A115" s="154"/>
      <c r="B115" s="154"/>
      <c r="C115" s="147">
        <f>IFERROR(__xludf.DUMMYFUNCTION("""COMPUTED_VALUE"""),2894005.0)</f>
        <v>2894005</v>
      </c>
      <c r="D115" s="150" t="str">
        <f>IFERROR(__xludf.DUMMYFUNCTION("""COMPUTED_VALUE"""),"How to Stand Out Remotely")</f>
        <v>How to Stand Out Remotely</v>
      </c>
      <c r="E115" s="147" t="str">
        <f>IFERROR(__xludf.DUMMYFUNCTION("""COMPUTED_VALUE"""),"General")</f>
        <v>General</v>
      </c>
      <c r="F115" s="141" t="str">
        <f>IFERROR(__xludf.DUMMYFUNCTION("""COMPUTED_VALUE"""),"General")</f>
        <v>General</v>
      </c>
      <c r="G115" s="143">
        <f>IFERROR(__xludf.DUMMYFUNCTION("""COMPUTED_VALUE"""),0.03127314814814815)</f>
        <v>0.03127314815</v>
      </c>
      <c r="H115" s="151"/>
      <c r="I115" s="154"/>
      <c r="J115" s="154"/>
      <c r="K115" s="154"/>
      <c r="L115" s="147"/>
      <c r="M115" s="153"/>
      <c r="N115" s="147"/>
      <c r="O115" s="141"/>
      <c r="P115" s="141"/>
      <c r="Q115" s="151"/>
      <c r="R115" s="154"/>
      <c r="S115" s="154"/>
    </row>
    <row r="116" ht="33.75" customHeight="1">
      <c r="A116" s="154"/>
      <c r="B116" s="154"/>
      <c r="C116" s="147">
        <f>IFERROR(__xludf.DUMMYFUNCTION("""COMPUTED_VALUE"""),2825372.0)</f>
        <v>2825372</v>
      </c>
      <c r="D116" s="150" t="str">
        <f>IFERROR(__xludf.DUMMYFUNCTION("""COMPUTED_VALUE"""),"Communicating with Emotional Intelligence")</f>
        <v>Communicating with Emotional Intelligence</v>
      </c>
      <c r="E116" s="147" t="str">
        <f>IFERROR(__xludf.DUMMYFUNCTION("""COMPUTED_VALUE"""),"General")</f>
        <v>General</v>
      </c>
      <c r="F116" s="141" t="str">
        <f>IFERROR(__xludf.DUMMYFUNCTION("""COMPUTED_VALUE"""),"General")</f>
        <v>General</v>
      </c>
      <c r="G116" s="143">
        <f>IFERROR(__xludf.DUMMYFUNCTION("""COMPUTED_VALUE"""),0.03002314814814815)</f>
        <v>0.03002314815</v>
      </c>
      <c r="H116" s="151"/>
      <c r="I116" s="154"/>
      <c r="J116" s="154"/>
      <c r="K116" s="154"/>
      <c r="L116" s="147"/>
      <c r="M116" s="153"/>
      <c r="N116" s="147"/>
      <c r="O116" s="141"/>
      <c r="P116" s="141"/>
      <c r="Q116" s="151"/>
      <c r="R116" s="154"/>
      <c r="S116" s="154"/>
    </row>
    <row r="117" ht="33.75" customHeight="1">
      <c r="A117" s="154"/>
      <c r="B117" s="154"/>
      <c r="C117" s="147">
        <f>IFERROR(__xludf.DUMMYFUNCTION("""COMPUTED_VALUE"""),2835067.0)</f>
        <v>2835067</v>
      </c>
      <c r="D117" s="150" t="str">
        <f>IFERROR(__xludf.DUMMYFUNCTION("""COMPUTED_VALUE"""),"Uncovering Your Authentic Self at Work")</f>
        <v>Uncovering Your Authentic Self at Work</v>
      </c>
      <c r="E117" s="147" t="str">
        <f>IFERROR(__xludf.DUMMYFUNCTION("""COMPUTED_VALUE"""),"General")</f>
        <v>General</v>
      </c>
      <c r="F117" s="141" t="str">
        <f>IFERROR(__xludf.DUMMYFUNCTION("""COMPUTED_VALUE"""),"General")</f>
        <v>General</v>
      </c>
      <c r="G117" s="143">
        <f>IFERROR(__xludf.DUMMYFUNCTION("""COMPUTED_VALUE"""),0.019467592592592592)</f>
        <v>0.01946759259</v>
      </c>
      <c r="H117" s="151"/>
      <c r="I117" s="154"/>
      <c r="J117" s="154"/>
      <c r="K117" s="154"/>
      <c r="L117" s="147"/>
      <c r="M117" s="153"/>
      <c r="N117" s="147"/>
      <c r="O117" s="141"/>
      <c r="P117" s="141"/>
      <c r="Q117" s="151"/>
      <c r="R117" s="154"/>
      <c r="S117" s="154"/>
    </row>
    <row r="118" ht="33.75" customHeight="1">
      <c r="A118" s="154"/>
      <c r="B118" s="154"/>
      <c r="C118" s="147">
        <f>IFERROR(__xludf.DUMMYFUNCTION("""COMPUTED_VALUE"""),176760.0)</f>
        <v>176760</v>
      </c>
      <c r="D118" s="150" t="str">
        <f>IFERROR(__xludf.DUMMYFUNCTION("""COMPUTED_VALUE"""),"Effective Listening")</f>
        <v>Effective Listening</v>
      </c>
      <c r="E118" s="147" t="str">
        <f>IFERROR(__xludf.DUMMYFUNCTION("""COMPUTED_VALUE"""),"General")</f>
        <v>General</v>
      </c>
      <c r="F118" s="141" t="str">
        <f>IFERROR(__xludf.DUMMYFUNCTION("""COMPUTED_VALUE"""),"General")</f>
        <v>General</v>
      </c>
      <c r="G118" s="143">
        <f>IFERROR(__xludf.DUMMYFUNCTION("""COMPUTED_VALUE"""),0.04486111111111111)</f>
        <v>0.04486111111</v>
      </c>
      <c r="H118" s="151"/>
      <c r="I118" s="154"/>
      <c r="J118" s="154"/>
      <c r="K118" s="154"/>
      <c r="L118" s="147"/>
      <c r="M118" s="153"/>
      <c r="N118" s="147"/>
      <c r="O118" s="141"/>
      <c r="P118" s="141"/>
      <c r="Q118" s="151"/>
      <c r="R118" s="154"/>
      <c r="S118" s="154"/>
    </row>
    <row r="119" ht="33.75" customHeight="1">
      <c r="A119" s="154"/>
      <c r="B119" s="154"/>
      <c r="C119" s="147">
        <f>IFERROR(__xludf.DUMMYFUNCTION("""COMPUTED_VALUE"""),148625.0)</f>
        <v>148625</v>
      </c>
      <c r="D119" s="150" t="str">
        <f>IFERROR(__xludf.DUMMYFUNCTION("""COMPUTED_VALUE"""),"Influencing Others")</f>
        <v>Influencing Others</v>
      </c>
      <c r="E119" s="147" t="str">
        <f>IFERROR(__xludf.DUMMYFUNCTION("""COMPUTED_VALUE"""),"General")</f>
        <v>General</v>
      </c>
      <c r="F119" s="141" t="str">
        <f>IFERROR(__xludf.DUMMYFUNCTION("""COMPUTED_VALUE"""),"General")</f>
        <v>General</v>
      </c>
      <c r="G119" s="143">
        <f>IFERROR(__xludf.DUMMYFUNCTION("""COMPUTED_VALUE"""),0.02903935185185185)</f>
        <v>0.02903935185</v>
      </c>
      <c r="H119" s="151"/>
      <c r="I119" s="154"/>
      <c r="J119" s="154"/>
      <c r="K119" s="154"/>
      <c r="L119" s="147"/>
      <c r="M119" s="153"/>
      <c r="N119" s="147"/>
      <c r="O119" s="141"/>
      <c r="P119" s="141"/>
      <c r="Q119" s="151"/>
      <c r="R119" s="154"/>
      <c r="S119" s="154"/>
    </row>
    <row r="120" ht="33.75" customHeight="1">
      <c r="A120" s="154"/>
      <c r="B120" s="154"/>
      <c r="C120" s="147">
        <f>IFERROR(__xludf.DUMMYFUNCTION("""COMPUTED_VALUE"""),2424508.0)</f>
        <v>2424508</v>
      </c>
      <c r="D120" s="150" t="str">
        <f>IFERROR(__xludf.DUMMYFUNCTION("""COMPUTED_VALUE"""),"Communicating Across Cultures Virtually")</f>
        <v>Communicating Across Cultures Virtually</v>
      </c>
      <c r="E120" s="147" t="str">
        <f>IFERROR(__xludf.DUMMYFUNCTION("""COMPUTED_VALUE"""),"General")</f>
        <v>General</v>
      </c>
      <c r="F120" s="141" t="str">
        <f>IFERROR(__xludf.DUMMYFUNCTION("""COMPUTED_VALUE"""),"General")</f>
        <v>General</v>
      </c>
      <c r="G120" s="143">
        <f>IFERROR(__xludf.DUMMYFUNCTION("""COMPUTED_VALUE"""),0.0434375)</f>
        <v>0.0434375</v>
      </c>
      <c r="H120" s="151"/>
      <c r="I120" s="154"/>
      <c r="J120" s="154"/>
      <c r="K120" s="154"/>
      <c r="L120" s="147"/>
      <c r="M120" s="153"/>
      <c r="N120" s="147"/>
      <c r="O120" s="141"/>
      <c r="P120" s="141"/>
      <c r="Q120" s="151"/>
      <c r="R120" s="154"/>
      <c r="S120" s="154"/>
    </row>
    <row r="121" ht="33.75" customHeight="1">
      <c r="A121" s="154"/>
      <c r="B121" s="154"/>
      <c r="C121" s="147">
        <f>IFERROR(__xludf.DUMMYFUNCTION("""COMPUTED_VALUE"""),2425282.0)</f>
        <v>2425282</v>
      </c>
      <c r="D121" s="150" t="str">
        <f>IFERROR(__xludf.DUMMYFUNCTION("""COMPUTED_VALUE"""),"Unlocking Authentic Communication in a Culturally-Diverse Workplace")</f>
        <v>Unlocking Authentic Communication in a Culturally-Diverse Workplace</v>
      </c>
      <c r="E121" s="147" t="str">
        <f>IFERROR(__xludf.DUMMYFUNCTION("""COMPUTED_VALUE"""),"General")</f>
        <v>General</v>
      </c>
      <c r="F121" s="141" t="str">
        <f>IFERROR(__xludf.DUMMYFUNCTION("""COMPUTED_VALUE"""),"General")</f>
        <v>General</v>
      </c>
      <c r="G121" s="143">
        <f>IFERROR(__xludf.DUMMYFUNCTION("""COMPUTED_VALUE"""),0.03449074074074074)</f>
        <v>0.03449074074</v>
      </c>
      <c r="H121" s="151"/>
      <c r="I121" s="154"/>
      <c r="J121" s="154"/>
      <c r="K121" s="154"/>
      <c r="L121" s="147"/>
      <c r="M121" s="153"/>
      <c r="N121" s="147"/>
      <c r="O121" s="141"/>
      <c r="P121" s="141"/>
      <c r="Q121" s="151"/>
      <c r="R121" s="154"/>
      <c r="S121" s="154"/>
    </row>
    <row r="122" ht="33.75" customHeight="1">
      <c r="A122" s="154"/>
      <c r="B122" s="154"/>
      <c r="C122" s="147">
        <f>IFERROR(__xludf.DUMMYFUNCTION("""COMPUTED_VALUE"""),2425359.0)</f>
        <v>2425359</v>
      </c>
      <c r="D122" s="150" t="str">
        <f>IFERROR(__xludf.DUMMYFUNCTION("""COMPUTED_VALUE"""),"Learning to Say No with Confidence and Grace")</f>
        <v>Learning to Say No with Confidence and Grace</v>
      </c>
      <c r="E122" s="147" t="str">
        <f>IFERROR(__xludf.DUMMYFUNCTION("""COMPUTED_VALUE"""),"General")</f>
        <v>General</v>
      </c>
      <c r="F122" s="141" t="str">
        <f>IFERROR(__xludf.DUMMYFUNCTION("""COMPUTED_VALUE"""),"General")</f>
        <v>General</v>
      </c>
      <c r="G122" s="143">
        <f>IFERROR(__xludf.DUMMYFUNCTION("""COMPUTED_VALUE"""),0.02966435185185185)</f>
        <v>0.02966435185</v>
      </c>
      <c r="H122" s="151"/>
      <c r="I122" s="154"/>
      <c r="J122" s="154"/>
      <c r="K122" s="154"/>
      <c r="L122" s="147"/>
      <c r="M122" s="153"/>
      <c r="N122" s="147"/>
      <c r="O122" s="141"/>
      <c r="P122" s="141"/>
      <c r="Q122" s="151"/>
      <c r="R122" s="154"/>
      <c r="S122" s="154"/>
    </row>
    <row r="123" ht="33.75" customHeight="1">
      <c r="A123" s="154"/>
      <c r="B123" s="154"/>
      <c r="C123" s="147"/>
      <c r="D123" s="159"/>
      <c r="E123" s="147"/>
      <c r="F123" s="141"/>
      <c r="G123" s="143"/>
      <c r="H123" s="151"/>
      <c r="I123" s="154"/>
      <c r="J123" s="154"/>
      <c r="K123" s="154"/>
      <c r="L123" s="147"/>
      <c r="M123" s="153"/>
      <c r="N123" s="147"/>
      <c r="O123" s="141"/>
      <c r="P123" s="141"/>
      <c r="Q123" s="151"/>
      <c r="R123" s="154"/>
      <c r="S123" s="154"/>
    </row>
    <row r="124" ht="33.75" customHeight="1">
      <c r="A124" s="154"/>
      <c r="B124" s="154"/>
      <c r="C124" s="147"/>
      <c r="D124" s="159"/>
      <c r="E124" s="147"/>
      <c r="F124" s="141"/>
      <c r="G124" s="143"/>
      <c r="H124" s="151"/>
      <c r="I124" s="154"/>
      <c r="J124" s="154"/>
      <c r="K124" s="154"/>
      <c r="L124" s="147"/>
      <c r="M124" s="153"/>
      <c r="N124" s="147"/>
      <c r="O124" s="141"/>
      <c r="P124" s="141"/>
      <c r="Q124" s="151"/>
      <c r="R124" s="154"/>
      <c r="S124" s="154"/>
    </row>
    <row r="125" ht="33.75" customHeight="1">
      <c r="A125" s="154"/>
      <c r="B125" s="154"/>
      <c r="C125" s="147"/>
      <c r="D125" s="159"/>
      <c r="E125" s="147"/>
      <c r="F125" s="141"/>
      <c r="G125" s="143"/>
      <c r="H125" s="151"/>
      <c r="I125" s="154"/>
      <c r="J125" s="154"/>
      <c r="K125" s="154"/>
      <c r="L125" s="147"/>
      <c r="M125" s="153"/>
      <c r="N125" s="147"/>
      <c r="O125" s="141"/>
      <c r="P125" s="141"/>
      <c r="Q125" s="151"/>
      <c r="R125" s="154"/>
      <c r="S125" s="154"/>
    </row>
    <row r="126" ht="33.75" customHeight="1">
      <c r="A126" s="154"/>
      <c r="B126" s="154"/>
      <c r="C126" s="147"/>
      <c r="D126" s="159"/>
      <c r="E126" s="147"/>
      <c r="F126" s="141"/>
      <c r="G126" s="143"/>
      <c r="H126" s="151"/>
      <c r="I126" s="154"/>
      <c r="J126" s="154"/>
      <c r="K126" s="154"/>
      <c r="L126" s="147"/>
      <c r="M126" s="153"/>
      <c r="N126" s="147"/>
      <c r="O126" s="141"/>
      <c r="P126" s="141"/>
      <c r="Q126" s="151"/>
      <c r="R126" s="154"/>
      <c r="S126" s="154"/>
    </row>
    <row r="127" ht="33.75" customHeight="1">
      <c r="A127" s="154"/>
      <c r="B127" s="154"/>
      <c r="C127" s="147"/>
      <c r="D127" s="159"/>
      <c r="E127" s="147"/>
      <c r="F127" s="141"/>
      <c r="G127" s="143"/>
      <c r="H127" s="151"/>
      <c r="I127" s="154"/>
      <c r="J127" s="154"/>
      <c r="K127" s="154"/>
      <c r="L127" s="147"/>
      <c r="M127" s="153"/>
      <c r="N127" s="147"/>
      <c r="O127" s="141"/>
      <c r="P127" s="141"/>
      <c r="Q127" s="151"/>
      <c r="R127" s="154"/>
      <c r="S127" s="154"/>
    </row>
    <row r="128" ht="33.75" customHeight="1">
      <c r="A128" s="154"/>
      <c r="B128" s="154"/>
      <c r="C128" s="147"/>
      <c r="D128" s="159"/>
      <c r="E128" s="147"/>
      <c r="F128" s="141"/>
      <c r="G128" s="143"/>
      <c r="H128" s="151"/>
      <c r="I128" s="154"/>
      <c r="J128" s="154"/>
      <c r="K128" s="154"/>
      <c r="L128" s="147"/>
      <c r="M128" s="153"/>
      <c r="N128" s="147"/>
      <c r="O128" s="141"/>
      <c r="P128" s="141"/>
      <c r="Q128" s="151"/>
      <c r="R128" s="154"/>
      <c r="S128" s="154"/>
    </row>
    <row r="129" ht="33.75" customHeight="1">
      <c r="A129" s="154"/>
      <c r="B129" s="154"/>
      <c r="C129" s="147"/>
      <c r="D129" s="159"/>
      <c r="E129" s="147"/>
      <c r="F129" s="141"/>
      <c r="G129" s="143"/>
      <c r="H129" s="151"/>
      <c r="I129" s="154"/>
      <c r="J129" s="154"/>
      <c r="K129" s="154"/>
      <c r="L129" s="147"/>
      <c r="M129" s="153"/>
      <c r="N129" s="147"/>
      <c r="O129" s="141"/>
      <c r="P129" s="141"/>
      <c r="Q129" s="151"/>
      <c r="R129" s="154"/>
      <c r="S129" s="154"/>
    </row>
    <row r="130" ht="33.75" customHeight="1">
      <c r="A130" s="154"/>
      <c r="B130" s="154"/>
      <c r="C130" s="147"/>
      <c r="D130" s="159"/>
      <c r="E130" s="147"/>
      <c r="F130" s="141"/>
      <c r="G130" s="143"/>
      <c r="H130" s="151"/>
      <c r="I130" s="154"/>
      <c r="J130" s="154"/>
      <c r="K130" s="154"/>
      <c r="L130" s="147"/>
      <c r="M130" s="153"/>
      <c r="N130" s="147"/>
      <c r="O130" s="141"/>
      <c r="P130" s="141"/>
      <c r="Q130" s="151"/>
      <c r="R130" s="154"/>
      <c r="S130" s="154"/>
    </row>
    <row r="131" ht="33.75" customHeight="1">
      <c r="A131" s="154"/>
      <c r="B131" s="154"/>
      <c r="C131" s="147"/>
      <c r="D131" s="159"/>
      <c r="E131" s="147"/>
      <c r="F131" s="141"/>
      <c r="G131" s="143"/>
      <c r="H131" s="151"/>
      <c r="I131" s="154"/>
      <c r="J131" s="154"/>
      <c r="K131" s="154"/>
      <c r="L131" s="147"/>
      <c r="M131" s="153"/>
      <c r="N131" s="147"/>
      <c r="O131" s="141"/>
      <c r="P131" s="141"/>
      <c r="Q131" s="151"/>
      <c r="R131" s="154"/>
      <c r="S131" s="154"/>
    </row>
    <row r="132" ht="33.75" customHeight="1">
      <c r="A132" s="154"/>
      <c r="B132" s="154"/>
      <c r="C132" s="147"/>
      <c r="D132" s="159"/>
      <c r="E132" s="147"/>
      <c r="F132" s="141"/>
      <c r="G132" s="143"/>
      <c r="H132" s="151"/>
      <c r="I132" s="154"/>
      <c r="J132" s="154"/>
      <c r="K132" s="154"/>
      <c r="L132" s="147"/>
      <c r="M132" s="153"/>
      <c r="N132" s="147"/>
      <c r="O132" s="141"/>
      <c r="P132" s="141"/>
      <c r="Q132" s="151"/>
      <c r="R132" s="154"/>
      <c r="S132" s="154"/>
    </row>
    <row r="133" ht="33.75" customHeight="1">
      <c r="A133" s="154"/>
      <c r="B133" s="154"/>
      <c r="C133" s="147"/>
      <c r="D133" s="159"/>
      <c r="E133" s="147"/>
      <c r="F133" s="141"/>
      <c r="G133" s="143"/>
      <c r="H133" s="151"/>
      <c r="I133" s="154"/>
      <c r="J133" s="154"/>
      <c r="K133" s="154"/>
      <c r="L133" s="147"/>
      <c r="M133" s="153"/>
      <c r="N133" s="147"/>
      <c r="O133" s="141"/>
      <c r="P133" s="141"/>
      <c r="Q133" s="151"/>
      <c r="R133" s="154"/>
      <c r="S133" s="154"/>
    </row>
    <row r="134" ht="33.75" customHeight="1">
      <c r="A134" s="154"/>
      <c r="B134" s="154"/>
      <c r="C134" s="147"/>
      <c r="D134" s="159"/>
      <c r="E134" s="147"/>
      <c r="F134" s="141"/>
      <c r="G134" s="143"/>
      <c r="H134" s="151"/>
      <c r="I134" s="154"/>
      <c r="J134" s="154"/>
      <c r="K134" s="154"/>
      <c r="L134" s="147"/>
      <c r="M134" s="153"/>
      <c r="N134" s="147"/>
      <c r="O134" s="141"/>
      <c r="P134" s="141"/>
      <c r="Q134" s="151"/>
      <c r="R134" s="154"/>
      <c r="S134" s="154"/>
    </row>
    <row r="135" ht="33.75" customHeight="1">
      <c r="A135" s="154"/>
      <c r="B135" s="154"/>
      <c r="C135" s="147"/>
      <c r="D135" s="159"/>
      <c r="E135" s="147"/>
      <c r="F135" s="141"/>
      <c r="G135" s="143"/>
      <c r="H135" s="151"/>
      <c r="I135" s="154"/>
      <c r="J135" s="154"/>
      <c r="K135" s="154"/>
      <c r="L135" s="147"/>
      <c r="M135" s="153"/>
      <c r="N135" s="147"/>
      <c r="O135" s="141"/>
      <c r="P135" s="141"/>
      <c r="Q135" s="151"/>
      <c r="R135" s="154"/>
      <c r="S135" s="154"/>
    </row>
    <row r="136" ht="33.75" customHeight="1">
      <c r="A136" s="154"/>
      <c r="B136" s="154"/>
      <c r="C136" s="147"/>
      <c r="D136" s="159"/>
      <c r="E136" s="147"/>
      <c r="F136" s="141"/>
      <c r="G136" s="143"/>
      <c r="H136" s="151"/>
      <c r="I136" s="154"/>
      <c r="J136" s="154"/>
      <c r="K136" s="154"/>
      <c r="L136" s="147"/>
      <c r="M136" s="153"/>
      <c r="N136" s="147"/>
      <c r="O136" s="141"/>
      <c r="P136" s="141"/>
      <c r="Q136" s="151"/>
      <c r="R136" s="154"/>
      <c r="S136" s="154"/>
    </row>
    <row r="137" ht="33.75" customHeight="1">
      <c r="A137" s="154"/>
      <c r="B137" s="154"/>
      <c r="C137" s="147"/>
      <c r="D137" s="159"/>
      <c r="E137" s="147"/>
      <c r="F137" s="141"/>
      <c r="G137" s="143"/>
      <c r="H137" s="151"/>
      <c r="I137" s="154"/>
      <c r="J137" s="154"/>
      <c r="K137" s="154"/>
      <c r="L137" s="147"/>
      <c r="M137" s="153"/>
      <c r="N137" s="147"/>
      <c r="O137" s="141"/>
      <c r="P137" s="141"/>
      <c r="Q137" s="151"/>
      <c r="R137" s="154"/>
      <c r="S137" s="154"/>
    </row>
    <row r="138" ht="33.75" customHeight="1">
      <c r="A138" s="154"/>
      <c r="B138" s="154"/>
      <c r="C138" s="147"/>
      <c r="D138" s="159"/>
      <c r="E138" s="147"/>
      <c r="F138" s="141"/>
      <c r="G138" s="143"/>
      <c r="H138" s="151"/>
      <c r="I138" s="154"/>
      <c r="J138" s="154"/>
      <c r="K138" s="154"/>
      <c r="L138" s="147"/>
      <c r="M138" s="153"/>
      <c r="N138" s="147"/>
      <c r="O138" s="141"/>
      <c r="P138" s="141"/>
      <c r="Q138" s="151"/>
      <c r="R138" s="154"/>
      <c r="S138" s="154"/>
    </row>
    <row r="139" ht="33.75" customHeight="1">
      <c r="A139" s="154"/>
      <c r="B139" s="154"/>
      <c r="C139" s="147"/>
      <c r="D139" s="159"/>
      <c r="E139" s="147"/>
      <c r="F139" s="141"/>
      <c r="G139" s="143"/>
      <c r="H139" s="151"/>
      <c r="I139" s="154"/>
      <c r="J139" s="154"/>
      <c r="K139" s="154"/>
      <c r="L139" s="147"/>
      <c r="M139" s="153"/>
      <c r="N139" s="147"/>
      <c r="O139" s="141"/>
      <c r="P139" s="141"/>
      <c r="Q139" s="151"/>
      <c r="R139" s="154"/>
      <c r="S139" s="154"/>
    </row>
    <row r="140" ht="33.75" customHeight="1">
      <c r="A140" s="154"/>
      <c r="B140" s="154"/>
      <c r="C140" s="147"/>
      <c r="D140" s="159"/>
      <c r="E140" s="147"/>
      <c r="F140" s="141"/>
      <c r="G140" s="143"/>
      <c r="H140" s="151"/>
      <c r="I140" s="154"/>
      <c r="J140" s="154"/>
      <c r="K140" s="154"/>
      <c r="L140" s="147"/>
      <c r="M140" s="153"/>
      <c r="N140" s="147"/>
      <c r="O140" s="141"/>
      <c r="P140" s="141"/>
      <c r="Q140" s="151"/>
      <c r="R140" s="154"/>
      <c r="S140" s="154"/>
    </row>
    <row r="141" ht="33.75" customHeight="1">
      <c r="A141" s="154"/>
      <c r="B141" s="154"/>
      <c r="C141" s="147"/>
      <c r="D141" s="159"/>
      <c r="E141" s="147"/>
      <c r="F141" s="141"/>
      <c r="G141" s="143"/>
      <c r="H141" s="151"/>
      <c r="I141" s="154"/>
      <c r="J141" s="154"/>
      <c r="K141" s="154"/>
      <c r="L141" s="147"/>
      <c r="M141" s="153"/>
      <c r="N141" s="147"/>
      <c r="O141" s="141"/>
      <c r="P141" s="141"/>
      <c r="Q141" s="151"/>
      <c r="R141" s="154"/>
      <c r="S141" s="154"/>
    </row>
    <row r="142" ht="33.75" customHeight="1">
      <c r="A142" s="154"/>
      <c r="B142" s="154"/>
      <c r="C142" s="147"/>
      <c r="D142" s="159"/>
      <c r="E142" s="147"/>
      <c r="F142" s="141"/>
      <c r="G142" s="143"/>
      <c r="H142" s="151"/>
      <c r="I142" s="154"/>
      <c r="J142" s="154"/>
      <c r="K142" s="154"/>
      <c r="L142" s="147"/>
      <c r="M142" s="153"/>
      <c r="N142" s="147"/>
      <c r="O142" s="141"/>
      <c r="P142" s="141"/>
      <c r="Q142" s="151"/>
      <c r="R142" s="154"/>
      <c r="S142" s="154"/>
    </row>
    <row r="143" ht="33.75" customHeight="1">
      <c r="A143" s="154"/>
      <c r="B143" s="154"/>
      <c r="C143" s="147"/>
      <c r="D143" s="159"/>
      <c r="E143" s="147"/>
      <c r="F143" s="141"/>
      <c r="G143" s="143"/>
      <c r="H143" s="151"/>
      <c r="I143" s="154"/>
      <c r="J143" s="154"/>
      <c r="K143" s="154"/>
      <c r="L143" s="147"/>
      <c r="M143" s="153"/>
      <c r="N143" s="147"/>
      <c r="O143" s="141"/>
      <c r="P143" s="141"/>
      <c r="Q143" s="151"/>
      <c r="R143" s="154"/>
      <c r="S143" s="154"/>
    </row>
    <row r="144" ht="33.75" customHeight="1">
      <c r="A144" s="154"/>
      <c r="B144" s="154"/>
      <c r="C144" s="147"/>
      <c r="D144" s="159"/>
      <c r="E144" s="147"/>
      <c r="F144" s="141"/>
      <c r="G144" s="143"/>
      <c r="H144" s="151"/>
      <c r="I144" s="154"/>
      <c r="J144" s="154"/>
      <c r="K144" s="154"/>
      <c r="L144" s="147"/>
      <c r="M144" s="153"/>
      <c r="N144" s="147"/>
      <c r="O144" s="141"/>
      <c r="P144" s="141"/>
      <c r="Q144" s="151"/>
      <c r="R144" s="154"/>
      <c r="S144" s="154"/>
    </row>
    <row r="145" ht="33.75" customHeight="1">
      <c r="A145" s="154"/>
      <c r="B145" s="154"/>
      <c r="C145" s="147"/>
      <c r="D145" s="159"/>
      <c r="E145" s="147"/>
      <c r="F145" s="141"/>
      <c r="G145" s="143"/>
      <c r="H145" s="151"/>
      <c r="I145" s="154"/>
      <c r="J145" s="154"/>
      <c r="K145" s="154"/>
      <c r="L145" s="147"/>
      <c r="M145" s="153"/>
      <c r="N145" s="147"/>
      <c r="O145" s="141"/>
      <c r="P145" s="141"/>
      <c r="Q145" s="151"/>
      <c r="R145" s="154"/>
      <c r="S145" s="154"/>
    </row>
    <row r="146" ht="33.75" customHeight="1">
      <c r="A146" s="154"/>
      <c r="B146" s="154"/>
      <c r="C146" s="147"/>
      <c r="D146" s="159"/>
      <c r="E146" s="147"/>
      <c r="F146" s="141"/>
      <c r="G146" s="143"/>
      <c r="H146" s="151"/>
      <c r="I146" s="154"/>
      <c r="J146" s="154"/>
      <c r="K146" s="154"/>
      <c r="L146" s="147"/>
      <c r="M146" s="153"/>
      <c r="N146" s="147"/>
      <c r="O146" s="141"/>
      <c r="P146" s="141"/>
      <c r="Q146" s="151"/>
      <c r="R146" s="154"/>
      <c r="S146" s="154"/>
    </row>
    <row r="147" ht="33.75" customHeight="1">
      <c r="A147" s="154"/>
      <c r="B147" s="154"/>
      <c r="C147" s="147"/>
      <c r="D147" s="159"/>
      <c r="E147" s="147"/>
      <c r="F147" s="141"/>
      <c r="G147" s="143"/>
      <c r="H147" s="151"/>
      <c r="I147" s="154"/>
      <c r="J147" s="154"/>
      <c r="K147" s="154"/>
      <c r="L147" s="147"/>
      <c r="M147" s="153"/>
      <c r="N147" s="147"/>
      <c r="O147" s="141"/>
      <c r="P147" s="141"/>
      <c r="Q147" s="151"/>
      <c r="R147" s="154"/>
      <c r="S147" s="154"/>
    </row>
    <row r="148" ht="33.75" customHeight="1">
      <c r="A148" s="154"/>
      <c r="B148" s="154"/>
      <c r="C148" s="147"/>
      <c r="D148" s="159"/>
      <c r="E148" s="147"/>
      <c r="F148" s="141"/>
      <c r="G148" s="143"/>
      <c r="H148" s="151"/>
      <c r="I148" s="154"/>
      <c r="J148" s="154"/>
      <c r="K148" s="154"/>
      <c r="L148" s="147"/>
      <c r="M148" s="153"/>
      <c r="N148" s="147"/>
      <c r="O148" s="141"/>
      <c r="P148" s="141"/>
      <c r="Q148" s="151"/>
      <c r="R148" s="154"/>
      <c r="S148" s="154"/>
    </row>
    <row r="149" ht="33.75" customHeight="1">
      <c r="A149" s="154"/>
      <c r="B149" s="154"/>
      <c r="C149" s="147"/>
      <c r="D149" s="159"/>
      <c r="E149" s="147"/>
      <c r="F149" s="141"/>
      <c r="G149" s="143"/>
      <c r="H149" s="151"/>
      <c r="I149" s="154"/>
      <c r="J149" s="154"/>
      <c r="K149" s="154"/>
      <c r="L149" s="147"/>
      <c r="M149" s="153"/>
      <c r="N149" s="147"/>
      <c r="O149" s="141"/>
      <c r="P149" s="141"/>
      <c r="Q149" s="151"/>
      <c r="R149" s="154"/>
      <c r="S149" s="154"/>
    </row>
    <row r="150" ht="33.75" customHeight="1">
      <c r="A150" s="154"/>
      <c r="B150" s="154"/>
      <c r="C150" s="147"/>
      <c r="D150" s="159"/>
      <c r="E150" s="147"/>
      <c r="F150" s="141"/>
      <c r="G150" s="143"/>
      <c r="H150" s="151"/>
      <c r="I150" s="154"/>
      <c r="J150" s="154"/>
      <c r="K150" s="154"/>
      <c r="L150" s="147"/>
      <c r="M150" s="153"/>
      <c r="N150" s="147"/>
      <c r="O150" s="141"/>
      <c r="P150" s="141"/>
      <c r="Q150" s="151"/>
      <c r="R150" s="154"/>
      <c r="S150" s="154"/>
    </row>
    <row r="151" ht="33.75" customHeight="1">
      <c r="A151" s="154"/>
      <c r="B151" s="154"/>
      <c r="C151" s="147"/>
      <c r="D151" s="159"/>
      <c r="E151" s="147"/>
      <c r="F151" s="141"/>
      <c r="G151" s="143"/>
      <c r="H151" s="151"/>
      <c r="I151" s="154"/>
      <c r="J151" s="154"/>
      <c r="K151" s="154"/>
      <c r="L151" s="147"/>
      <c r="M151" s="153"/>
      <c r="N151" s="147"/>
      <c r="O151" s="141"/>
      <c r="P151" s="141"/>
      <c r="Q151" s="151"/>
      <c r="R151" s="154"/>
      <c r="S151" s="154"/>
    </row>
    <row r="152" ht="33.75" customHeight="1">
      <c r="A152" s="154"/>
      <c r="B152" s="154"/>
      <c r="C152" s="147"/>
      <c r="D152" s="159"/>
      <c r="E152" s="147"/>
      <c r="F152" s="141"/>
      <c r="G152" s="143"/>
      <c r="H152" s="151"/>
      <c r="I152" s="154"/>
      <c r="J152" s="154"/>
      <c r="K152" s="154"/>
      <c r="L152" s="147"/>
      <c r="M152" s="153"/>
      <c r="N152" s="147"/>
      <c r="O152" s="141"/>
      <c r="P152" s="141"/>
      <c r="Q152" s="151"/>
      <c r="R152" s="154"/>
      <c r="S152" s="154"/>
    </row>
    <row r="153" ht="33.75" customHeight="1">
      <c r="A153" s="154"/>
      <c r="B153" s="154"/>
      <c r="C153" s="147"/>
      <c r="D153" s="159"/>
      <c r="E153" s="147"/>
      <c r="F153" s="141"/>
      <c r="G153" s="143"/>
      <c r="H153" s="151"/>
      <c r="I153" s="154"/>
      <c r="J153" s="154"/>
      <c r="K153" s="154"/>
      <c r="L153" s="147"/>
      <c r="M153" s="153"/>
      <c r="N153" s="147"/>
      <c r="O153" s="141"/>
      <c r="P153" s="141"/>
      <c r="Q153" s="151"/>
      <c r="R153" s="154"/>
      <c r="S153" s="154"/>
    </row>
    <row r="154" ht="33.75" customHeight="1">
      <c r="A154" s="154"/>
      <c r="B154" s="154"/>
      <c r="C154" s="147"/>
      <c r="D154" s="159"/>
      <c r="E154" s="147"/>
      <c r="F154" s="141"/>
      <c r="G154" s="143"/>
      <c r="H154" s="151"/>
      <c r="I154" s="154"/>
      <c r="J154" s="154"/>
      <c r="K154" s="154"/>
      <c r="L154" s="147"/>
      <c r="M154" s="153"/>
      <c r="N154" s="147"/>
      <c r="O154" s="141"/>
      <c r="P154" s="141"/>
      <c r="Q154" s="151"/>
      <c r="R154" s="154"/>
      <c r="S154" s="154"/>
    </row>
    <row r="155" ht="33.75" customHeight="1">
      <c r="A155" s="154"/>
      <c r="B155" s="154"/>
      <c r="C155" s="147"/>
      <c r="D155" s="159"/>
      <c r="E155" s="147"/>
      <c r="F155" s="141"/>
      <c r="G155" s="143"/>
      <c r="H155" s="151"/>
      <c r="I155" s="154"/>
      <c r="J155" s="154"/>
      <c r="K155" s="154"/>
      <c r="L155" s="147"/>
      <c r="M155" s="153"/>
      <c r="N155" s="147"/>
      <c r="O155" s="141"/>
      <c r="P155" s="141"/>
      <c r="Q155" s="151"/>
      <c r="R155" s="154"/>
      <c r="S155" s="154"/>
    </row>
    <row r="156" ht="33.75" customHeight="1">
      <c r="A156" s="154"/>
      <c r="B156" s="154"/>
      <c r="C156" s="147"/>
      <c r="D156" s="159"/>
      <c r="E156" s="147"/>
      <c r="F156" s="141"/>
      <c r="G156" s="143"/>
      <c r="H156" s="151"/>
      <c r="I156" s="154"/>
      <c r="J156" s="154"/>
      <c r="K156" s="154"/>
      <c r="L156" s="147"/>
      <c r="M156" s="153"/>
      <c r="N156" s="147"/>
      <c r="O156" s="141"/>
      <c r="P156" s="141"/>
      <c r="Q156" s="151"/>
      <c r="R156" s="154"/>
      <c r="S156" s="154"/>
    </row>
    <row r="157" ht="33.75" customHeight="1">
      <c r="A157" s="154"/>
      <c r="B157" s="154"/>
      <c r="C157" s="147"/>
      <c r="D157" s="159"/>
      <c r="E157" s="147"/>
      <c r="F157" s="141"/>
      <c r="G157" s="143"/>
      <c r="H157" s="151"/>
      <c r="I157" s="154"/>
      <c r="J157" s="154"/>
      <c r="K157" s="154"/>
      <c r="L157" s="147"/>
      <c r="M157" s="153"/>
      <c r="N157" s="147"/>
      <c r="O157" s="141"/>
      <c r="P157" s="141"/>
      <c r="Q157" s="151"/>
      <c r="R157" s="154"/>
      <c r="S157" s="154"/>
    </row>
    <row r="158" ht="33.75" customHeight="1">
      <c r="A158" s="154"/>
      <c r="B158" s="154"/>
      <c r="C158" s="147"/>
      <c r="D158" s="159"/>
      <c r="E158" s="147"/>
      <c r="F158" s="141"/>
      <c r="G158" s="143"/>
      <c r="H158" s="151"/>
      <c r="I158" s="154"/>
      <c r="J158" s="154"/>
      <c r="K158" s="154"/>
      <c r="L158" s="147"/>
      <c r="M158" s="153"/>
      <c r="N158" s="147"/>
      <c r="O158" s="141"/>
      <c r="P158" s="141"/>
      <c r="Q158" s="151"/>
      <c r="R158" s="154"/>
      <c r="S158" s="154"/>
    </row>
    <row r="159" ht="33.75" customHeight="1">
      <c r="A159" s="154"/>
      <c r="B159" s="154"/>
      <c r="C159" s="147"/>
      <c r="D159" s="159"/>
      <c r="E159" s="147"/>
      <c r="F159" s="141"/>
      <c r="G159" s="143"/>
      <c r="H159" s="151"/>
      <c r="I159" s="154"/>
      <c r="J159" s="154"/>
      <c r="K159" s="154"/>
      <c r="L159" s="147"/>
      <c r="M159" s="153"/>
      <c r="N159" s="147"/>
      <c r="O159" s="141"/>
      <c r="P159" s="141"/>
      <c r="Q159" s="151"/>
      <c r="R159" s="154"/>
      <c r="S159" s="154"/>
    </row>
    <row r="160" ht="33.75" customHeight="1">
      <c r="A160" s="154"/>
      <c r="B160" s="154"/>
      <c r="C160" s="147"/>
      <c r="D160" s="159"/>
      <c r="E160" s="147"/>
      <c r="F160" s="141"/>
      <c r="G160" s="143"/>
      <c r="H160" s="151"/>
      <c r="I160" s="154"/>
      <c r="J160" s="154"/>
      <c r="K160" s="154"/>
      <c r="L160" s="147"/>
      <c r="M160" s="153"/>
      <c r="N160" s="147"/>
      <c r="O160" s="141"/>
      <c r="P160" s="141"/>
      <c r="Q160" s="151"/>
      <c r="R160" s="154"/>
      <c r="S160" s="154"/>
    </row>
    <row r="161" ht="33.75" customHeight="1">
      <c r="A161" s="154"/>
      <c r="B161" s="154"/>
      <c r="C161" s="147"/>
      <c r="D161" s="159"/>
      <c r="E161" s="147"/>
      <c r="F161" s="141"/>
      <c r="G161" s="143"/>
      <c r="H161" s="151"/>
      <c r="I161" s="154"/>
      <c r="J161" s="154"/>
      <c r="K161" s="154"/>
      <c r="L161" s="147"/>
      <c r="M161" s="153"/>
      <c r="N161" s="147"/>
      <c r="O161" s="141"/>
      <c r="P161" s="141"/>
      <c r="Q161" s="151"/>
      <c r="R161" s="154"/>
      <c r="S161" s="154"/>
    </row>
    <row r="162" ht="33.75" customHeight="1">
      <c r="A162" s="154"/>
      <c r="B162" s="154"/>
      <c r="C162" s="147"/>
      <c r="D162" s="159"/>
      <c r="E162" s="147"/>
      <c r="F162" s="141"/>
      <c r="G162" s="143"/>
      <c r="H162" s="151"/>
      <c r="I162" s="154"/>
      <c r="J162" s="154"/>
      <c r="K162" s="154"/>
      <c r="L162" s="147"/>
      <c r="M162" s="153"/>
      <c r="N162" s="147"/>
      <c r="O162" s="141"/>
      <c r="P162" s="141"/>
      <c r="Q162" s="151"/>
      <c r="R162" s="154"/>
      <c r="S162" s="154"/>
    </row>
    <row r="163" ht="33.75" customHeight="1">
      <c r="A163" s="154"/>
      <c r="B163" s="154"/>
      <c r="C163" s="147"/>
      <c r="D163" s="159"/>
      <c r="E163" s="147"/>
      <c r="F163" s="141"/>
      <c r="G163" s="143"/>
      <c r="H163" s="151"/>
      <c r="I163" s="154"/>
      <c r="J163" s="154"/>
      <c r="K163" s="154"/>
      <c r="L163" s="147"/>
      <c r="M163" s="153"/>
      <c r="N163" s="147"/>
      <c r="O163" s="141"/>
      <c r="P163" s="141"/>
      <c r="Q163" s="151"/>
      <c r="R163" s="154"/>
      <c r="S163" s="154"/>
    </row>
    <row r="164" ht="33.75" customHeight="1">
      <c r="A164" s="154"/>
      <c r="B164" s="154"/>
      <c r="C164" s="147"/>
      <c r="D164" s="159"/>
      <c r="E164" s="147"/>
      <c r="F164" s="141"/>
      <c r="G164" s="143"/>
      <c r="H164" s="151"/>
      <c r="I164" s="154"/>
      <c r="J164" s="154"/>
      <c r="K164" s="154"/>
      <c r="L164" s="147"/>
      <c r="M164" s="153"/>
      <c r="N164" s="147"/>
      <c r="O164" s="141"/>
      <c r="P164" s="141"/>
      <c r="Q164" s="151"/>
      <c r="R164" s="154"/>
      <c r="S164" s="154"/>
    </row>
    <row r="165" ht="33.75" customHeight="1">
      <c r="A165" s="154"/>
      <c r="B165" s="154"/>
      <c r="C165" s="147"/>
      <c r="D165" s="159"/>
      <c r="E165" s="147"/>
      <c r="F165" s="141"/>
      <c r="G165" s="143"/>
      <c r="H165" s="151"/>
      <c r="I165" s="154"/>
      <c r="J165" s="154"/>
      <c r="K165" s="154"/>
      <c r="L165" s="147"/>
      <c r="M165" s="153"/>
      <c r="N165" s="147"/>
      <c r="O165" s="141"/>
      <c r="P165" s="141"/>
      <c r="Q165" s="151"/>
      <c r="R165" s="154"/>
      <c r="S165" s="154"/>
    </row>
    <row r="166" ht="33.75" customHeight="1">
      <c r="A166" s="154"/>
      <c r="B166" s="154"/>
      <c r="C166" s="147"/>
      <c r="D166" s="159"/>
      <c r="E166" s="147"/>
      <c r="F166" s="141"/>
      <c r="G166" s="143"/>
      <c r="H166" s="151"/>
      <c r="I166" s="154"/>
      <c r="J166" s="154"/>
      <c r="K166" s="154"/>
      <c r="L166" s="147"/>
      <c r="M166" s="153"/>
      <c r="N166" s="147"/>
      <c r="O166" s="141"/>
      <c r="P166" s="141"/>
      <c r="Q166" s="151"/>
      <c r="R166" s="154"/>
      <c r="S166" s="154"/>
    </row>
    <row r="167" ht="33.75" customHeight="1">
      <c r="A167" s="154"/>
      <c r="B167" s="154"/>
      <c r="C167" s="147"/>
      <c r="D167" s="159"/>
      <c r="E167" s="147"/>
      <c r="F167" s="141"/>
      <c r="G167" s="143"/>
      <c r="H167" s="151"/>
      <c r="I167" s="154"/>
      <c r="J167" s="154"/>
      <c r="K167" s="154"/>
      <c r="L167" s="147"/>
      <c r="M167" s="153"/>
      <c r="N167" s="147"/>
      <c r="O167" s="141"/>
      <c r="P167" s="141"/>
      <c r="Q167" s="151"/>
      <c r="R167" s="154"/>
      <c r="S167" s="154"/>
    </row>
    <row r="168" ht="33.75" customHeight="1">
      <c r="A168" s="154"/>
      <c r="B168" s="154"/>
      <c r="C168" s="147"/>
      <c r="D168" s="159"/>
      <c r="E168" s="147"/>
      <c r="F168" s="141"/>
      <c r="G168" s="143"/>
      <c r="H168" s="151"/>
      <c r="I168" s="154"/>
      <c r="J168" s="154"/>
      <c r="K168" s="154"/>
      <c r="L168" s="147"/>
      <c r="M168" s="153"/>
      <c r="N168" s="147"/>
      <c r="O168" s="141"/>
      <c r="P168" s="141"/>
      <c r="Q168" s="151"/>
      <c r="R168" s="154"/>
      <c r="S168" s="154"/>
    </row>
    <row r="169" ht="33.75" customHeight="1">
      <c r="A169" s="154"/>
      <c r="B169" s="154"/>
      <c r="C169" s="147"/>
      <c r="D169" s="159"/>
      <c r="E169" s="147"/>
      <c r="F169" s="141"/>
      <c r="G169" s="143"/>
      <c r="H169" s="151"/>
      <c r="I169" s="154"/>
      <c r="J169" s="154"/>
      <c r="K169" s="154"/>
      <c r="L169" s="147"/>
      <c r="M169" s="153"/>
      <c r="N169" s="147"/>
      <c r="O169" s="141"/>
      <c r="P169" s="141"/>
      <c r="Q169" s="151"/>
      <c r="R169" s="154"/>
      <c r="S169" s="154"/>
    </row>
    <row r="170" ht="33.75" customHeight="1">
      <c r="A170" s="154"/>
      <c r="B170" s="154"/>
      <c r="C170" s="147"/>
      <c r="D170" s="159"/>
      <c r="E170" s="147"/>
      <c r="F170" s="141"/>
      <c r="G170" s="143"/>
      <c r="H170" s="151"/>
      <c r="I170" s="154"/>
      <c r="J170" s="154"/>
      <c r="K170" s="154"/>
      <c r="L170" s="147"/>
      <c r="M170" s="153"/>
      <c r="N170" s="147"/>
      <c r="O170" s="141"/>
      <c r="P170" s="141"/>
      <c r="Q170" s="151"/>
      <c r="R170" s="154"/>
      <c r="S170" s="154"/>
    </row>
    <row r="171" ht="33.75" customHeight="1">
      <c r="A171" s="154"/>
      <c r="B171" s="154"/>
      <c r="C171" s="147"/>
      <c r="D171" s="159"/>
      <c r="E171" s="147"/>
      <c r="F171" s="141"/>
      <c r="G171" s="143"/>
      <c r="H171" s="151"/>
      <c r="I171" s="154"/>
      <c r="J171" s="154"/>
      <c r="K171" s="154"/>
      <c r="L171" s="147"/>
      <c r="M171" s="153"/>
      <c r="N171" s="147"/>
      <c r="O171" s="141"/>
      <c r="P171" s="141"/>
      <c r="Q171" s="151"/>
      <c r="R171" s="154"/>
      <c r="S171" s="154"/>
    </row>
    <row r="172" ht="33.75" customHeight="1">
      <c r="A172" s="154"/>
      <c r="B172" s="154"/>
      <c r="C172" s="147"/>
      <c r="D172" s="159"/>
      <c r="E172" s="147"/>
      <c r="F172" s="141"/>
      <c r="G172" s="143"/>
      <c r="H172" s="151"/>
      <c r="I172" s="154"/>
      <c r="J172" s="154"/>
      <c r="K172" s="154"/>
      <c r="L172" s="147"/>
      <c r="M172" s="153"/>
      <c r="N172" s="147"/>
      <c r="O172" s="141"/>
      <c r="P172" s="141"/>
      <c r="Q172" s="151"/>
      <c r="R172" s="154"/>
      <c r="S172" s="154"/>
    </row>
    <row r="173" ht="33.75" customHeight="1">
      <c r="A173" s="154"/>
      <c r="B173" s="154"/>
      <c r="C173" s="147"/>
      <c r="D173" s="159"/>
      <c r="E173" s="147"/>
      <c r="F173" s="141"/>
      <c r="G173" s="143"/>
      <c r="H173" s="151"/>
      <c r="I173" s="154"/>
      <c r="J173" s="154"/>
      <c r="K173" s="154"/>
      <c r="L173" s="147"/>
      <c r="M173" s="153"/>
      <c r="N173" s="147"/>
      <c r="O173" s="141"/>
      <c r="P173" s="141"/>
      <c r="Q173" s="151"/>
      <c r="R173" s="154"/>
      <c r="S173" s="154"/>
    </row>
    <row r="174" ht="33.75" customHeight="1">
      <c r="A174" s="154"/>
      <c r="B174" s="154"/>
      <c r="C174" s="147"/>
      <c r="D174" s="159"/>
      <c r="E174" s="147"/>
      <c r="F174" s="141"/>
      <c r="G174" s="143"/>
      <c r="H174" s="151"/>
      <c r="I174" s="154"/>
      <c r="J174" s="154"/>
      <c r="K174" s="154"/>
      <c r="L174" s="147"/>
      <c r="M174" s="153"/>
      <c r="N174" s="147"/>
      <c r="O174" s="141"/>
      <c r="P174" s="141"/>
      <c r="Q174" s="151"/>
      <c r="R174" s="154"/>
      <c r="S174" s="154"/>
    </row>
    <row r="175" ht="33.75" customHeight="1">
      <c r="A175" s="154"/>
      <c r="B175" s="154"/>
      <c r="C175" s="147"/>
      <c r="D175" s="159"/>
      <c r="E175" s="147"/>
      <c r="F175" s="141"/>
      <c r="G175" s="143"/>
      <c r="H175" s="151"/>
      <c r="I175" s="154"/>
      <c r="J175" s="154"/>
      <c r="K175" s="154"/>
      <c r="L175" s="147"/>
      <c r="M175" s="153"/>
      <c r="N175" s="147"/>
      <c r="O175" s="141"/>
      <c r="P175" s="141"/>
      <c r="Q175" s="151"/>
      <c r="R175" s="154"/>
      <c r="S175" s="154"/>
    </row>
    <row r="176" ht="33.75" customHeight="1">
      <c r="A176" s="154"/>
      <c r="B176" s="154"/>
      <c r="C176" s="147"/>
      <c r="D176" s="159"/>
      <c r="E176" s="147"/>
      <c r="F176" s="141"/>
      <c r="G176" s="143"/>
      <c r="H176" s="151"/>
      <c r="I176" s="154"/>
      <c r="J176" s="154"/>
      <c r="K176" s="154"/>
      <c r="L176" s="147"/>
      <c r="M176" s="153"/>
      <c r="N176" s="147"/>
      <c r="O176" s="141"/>
      <c r="P176" s="141"/>
      <c r="Q176" s="151"/>
      <c r="R176" s="154"/>
      <c r="S176" s="154"/>
    </row>
    <row r="177">
      <c r="A177" s="154"/>
      <c r="B177" s="154"/>
      <c r="C177" s="155"/>
      <c r="D177" s="156"/>
      <c r="E177" s="155"/>
      <c r="F177" s="155"/>
      <c r="G177" s="155"/>
      <c r="H177" s="157"/>
      <c r="I177" s="154"/>
      <c r="J177" s="154"/>
      <c r="K177" s="154"/>
      <c r="L177" s="155"/>
      <c r="M177" s="156"/>
      <c r="N177" s="155"/>
      <c r="O177" s="155"/>
      <c r="P177" s="155"/>
      <c r="Q177" s="157"/>
      <c r="R177" s="154"/>
      <c r="S177" s="154"/>
    </row>
    <row r="178">
      <c r="A178" s="154"/>
      <c r="B178" s="154"/>
      <c r="C178" s="155"/>
      <c r="D178" s="156"/>
      <c r="E178" s="155"/>
      <c r="F178" s="155"/>
      <c r="G178" s="155"/>
      <c r="H178" s="157"/>
      <c r="I178" s="154"/>
      <c r="J178" s="154"/>
      <c r="K178" s="154"/>
      <c r="L178" s="155"/>
      <c r="M178" s="156"/>
      <c r="N178" s="155"/>
      <c r="O178" s="155"/>
      <c r="P178" s="155"/>
      <c r="Q178" s="157"/>
      <c r="R178" s="154"/>
      <c r="S178" s="154"/>
    </row>
    <row r="179">
      <c r="A179" s="154"/>
      <c r="B179" s="154"/>
      <c r="C179" s="155"/>
      <c r="D179" s="156"/>
      <c r="E179" s="155"/>
      <c r="F179" s="155"/>
      <c r="G179" s="155"/>
      <c r="H179" s="157"/>
      <c r="I179" s="154"/>
      <c r="J179" s="154"/>
      <c r="K179" s="154"/>
      <c r="L179" s="155"/>
      <c r="M179" s="156"/>
      <c r="N179" s="155"/>
      <c r="O179" s="155"/>
      <c r="P179" s="155"/>
      <c r="Q179" s="157"/>
      <c r="R179" s="154"/>
      <c r="S179" s="154"/>
    </row>
    <row r="180">
      <c r="A180" s="154"/>
      <c r="B180" s="154"/>
      <c r="C180" s="155"/>
      <c r="D180" s="156"/>
      <c r="E180" s="155"/>
      <c r="F180" s="155"/>
      <c r="G180" s="155"/>
      <c r="H180" s="157"/>
      <c r="I180" s="154"/>
      <c r="J180" s="154"/>
      <c r="K180" s="154"/>
      <c r="L180" s="155"/>
      <c r="M180" s="156"/>
      <c r="N180" s="155"/>
      <c r="O180" s="155"/>
      <c r="P180" s="155"/>
      <c r="Q180" s="157"/>
      <c r="R180" s="154"/>
      <c r="S180" s="154"/>
    </row>
    <row r="181">
      <c r="A181" s="154"/>
      <c r="B181" s="154"/>
      <c r="C181" s="155"/>
      <c r="D181" s="156"/>
      <c r="E181" s="155"/>
      <c r="F181" s="155"/>
      <c r="G181" s="155"/>
      <c r="H181" s="157"/>
      <c r="I181" s="154"/>
      <c r="J181" s="154"/>
      <c r="K181" s="154"/>
      <c r="L181" s="155"/>
      <c r="M181" s="156"/>
      <c r="N181" s="155"/>
      <c r="O181" s="155"/>
      <c r="P181" s="155"/>
      <c r="Q181" s="157"/>
      <c r="R181" s="154"/>
      <c r="S181" s="154"/>
    </row>
    <row r="182">
      <c r="A182" s="154"/>
      <c r="B182" s="154"/>
      <c r="C182" s="155"/>
      <c r="D182" s="156"/>
      <c r="E182" s="155"/>
      <c r="F182" s="155"/>
      <c r="G182" s="155"/>
      <c r="H182" s="157"/>
      <c r="I182" s="154"/>
      <c r="J182" s="154"/>
      <c r="K182" s="154"/>
      <c r="L182" s="155"/>
      <c r="M182" s="156"/>
      <c r="N182" s="155"/>
      <c r="O182" s="155"/>
      <c r="P182" s="155"/>
      <c r="Q182" s="157"/>
      <c r="R182" s="154"/>
      <c r="S182" s="154"/>
    </row>
    <row r="183">
      <c r="A183" s="154"/>
      <c r="B183" s="154"/>
      <c r="C183" s="155"/>
      <c r="D183" s="156"/>
      <c r="E183" s="155"/>
      <c r="F183" s="155"/>
      <c r="G183" s="155"/>
      <c r="H183" s="157"/>
      <c r="I183" s="154"/>
      <c r="J183" s="154"/>
      <c r="K183" s="154"/>
      <c r="L183" s="155"/>
      <c r="M183" s="156"/>
      <c r="N183" s="155"/>
      <c r="O183" s="155"/>
      <c r="P183" s="155"/>
      <c r="Q183" s="157"/>
      <c r="R183" s="154"/>
      <c r="S183" s="154"/>
    </row>
    <row r="184">
      <c r="A184" s="154"/>
      <c r="B184" s="154"/>
      <c r="C184" s="155"/>
      <c r="D184" s="156"/>
      <c r="E184" s="155"/>
      <c r="F184" s="155"/>
      <c r="G184" s="155"/>
      <c r="H184" s="157"/>
      <c r="I184" s="154"/>
      <c r="J184" s="154"/>
      <c r="K184" s="154"/>
      <c r="L184" s="155"/>
      <c r="M184" s="156"/>
      <c r="N184" s="155"/>
      <c r="O184" s="155"/>
      <c r="P184" s="155"/>
      <c r="Q184" s="157"/>
      <c r="R184" s="154"/>
      <c r="S184" s="154"/>
    </row>
    <row r="185">
      <c r="A185" s="154"/>
      <c r="B185" s="154"/>
      <c r="C185" s="155"/>
      <c r="D185" s="156"/>
      <c r="E185" s="155"/>
      <c r="F185" s="155"/>
      <c r="G185" s="155"/>
      <c r="H185" s="157"/>
      <c r="I185" s="154"/>
      <c r="J185" s="154"/>
      <c r="K185" s="154"/>
      <c r="L185" s="155"/>
      <c r="M185" s="156"/>
      <c r="N185" s="155"/>
      <c r="O185" s="155"/>
      <c r="P185" s="155"/>
      <c r="Q185" s="157"/>
      <c r="R185" s="154"/>
      <c r="S185" s="154"/>
    </row>
    <row r="186">
      <c r="A186" s="154"/>
      <c r="B186" s="154"/>
      <c r="C186" s="155"/>
      <c r="D186" s="156"/>
      <c r="E186" s="155"/>
      <c r="F186" s="155"/>
      <c r="G186" s="155"/>
      <c r="H186" s="157"/>
      <c r="I186" s="154"/>
      <c r="J186" s="154"/>
      <c r="K186" s="154"/>
      <c r="L186" s="155"/>
      <c r="M186" s="156"/>
      <c r="N186" s="155"/>
      <c r="O186" s="155"/>
      <c r="P186" s="155"/>
      <c r="Q186" s="157"/>
      <c r="R186" s="154"/>
      <c r="S186" s="154"/>
    </row>
    <row r="187">
      <c r="A187" s="154"/>
      <c r="B187" s="154"/>
      <c r="C187" s="155"/>
      <c r="D187" s="156"/>
      <c r="E187" s="155"/>
      <c r="F187" s="155"/>
      <c r="G187" s="155"/>
      <c r="H187" s="157"/>
      <c r="I187" s="154"/>
      <c r="J187" s="154"/>
      <c r="K187" s="154"/>
      <c r="L187" s="155"/>
      <c r="M187" s="156"/>
      <c r="N187" s="155"/>
      <c r="O187" s="155"/>
      <c r="P187" s="155"/>
      <c r="Q187" s="157"/>
      <c r="R187" s="154"/>
      <c r="S187" s="154"/>
    </row>
    <row r="188">
      <c r="A188" s="154"/>
      <c r="B188" s="154"/>
      <c r="C188" s="155"/>
      <c r="D188" s="156"/>
      <c r="E188" s="155"/>
      <c r="F188" s="155"/>
      <c r="G188" s="155"/>
      <c r="H188" s="157"/>
      <c r="I188" s="154"/>
      <c r="J188" s="154"/>
      <c r="K188" s="154"/>
      <c r="L188" s="155"/>
      <c r="M188" s="156"/>
      <c r="N188" s="155"/>
      <c r="O188" s="155"/>
      <c r="P188" s="155"/>
      <c r="Q188" s="157"/>
      <c r="R188" s="154"/>
      <c r="S188" s="154"/>
    </row>
    <row r="189">
      <c r="A189" s="154"/>
      <c r="B189" s="154"/>
      <c r="C189" s="155"/>
      <c r="D189" s="156"/>
      <c r="E189" s="155"/>
      <c r="F189" s="155"/>
      <c r="G189" s="155"/>
      <c r="H189" s="157"/>
      <c r="I189" s="154"/>
      <c r="J189" s="154"/>
      <c r="K189" s="154"/>
      <c r="L189" s="155"/>
      <c r="M189" s="156"/>
      <c r="N189" s="155"/>
      <c r="O189" s="155"/>
      <c r="P189" s="155"/>
      <c r="Q189" s="157"/>
      <c r="R189" s="154"/>
      <c r="S189" s="154"/>
    </row>
    <row r="190">
      <c r="A190" s="154"/>
      <c r="B190" s="154"/>
      <c r="C190" s="155"/>
      <c r="D190" s="156"/>
      <c r="E190" s="155"/>
      <c r="F190" s="155"/>
      <c r="G190" s="155"/>
      <c r="H190" s="157"/>
      <c r="I190" s="154"/>
      <c r="J190" s="154"/>
      <c r="K190" s="154"/>
      <c r="L190" s="155"/>
      <c r="M190" s="156"/>
      <c r="N190" s="155"/>
      <c r="O190" s="155"/>
      <c r="P190" s="155"/>
      <c r="Q190" s="157"/>
      <c r="R190" s="154"/>
      <c r="S190" s="154"/>
    </row>
    <row r="191">
      <c r="A191" s="154"/>
      <c r="B191" s="154"/>
      <c r="C191" s="155"/>
      <c r="D191" s="156"/>
      <c r="E191" s="155"/>
      <c r="F191" s="155"/>
      <c r="G191" s="155"/>
      <c r="H191" s="157"/>
      <c r="I191" s="154"/>
      <c r="J191" s="154"/>
      <c r="K191" s="154"/>
      <c r="L191" s="155"/>
      <c r="M191" s="156"/>
      <c r="N191" s="155"/>
      <c r="O191" s="155"/>
      <c r="P191" s="155"/>
      <c r="Q191" s="157"/>
      <c r="R191" s="154"/>
      <c r="S191" s="154"/>
    </row>
    <row r="192">
      <c r="A192" s="154"/>
      <c r="B192" s="154"/>
      <c r="C192" s="155"/>
      <c r="D192" s="156"/>
      <c r="E192" s="155"/>
      <c r="F192" s="155"/>
      <c r="G192" s="155"/>
      <c r="H192" s="157"/>
      <c r="I192" s="154"/>
      <c r="J192" s="154"/>
      <c r="K192" s="154"/>
      <c r="L192" s="155"/>
      <c r="M192" s="156"/>
      <c r="N192" s="155"/>
      <c r="O192" s="155"/>
      <c r="P192" s="155"/>
      <c r="Q192" s="157"/>
      <c r="R192" s="154"/>
      <c r="S192" s="154"/>
    </row>
    <row r="193">
      <c r="A193" s="154"/>
      <c r="B193" s="154"/>
      <c r="C193" s="155"/>
      <c r="D193" s="156"/>
      <c r="E193" s="155"/>
      <c r="F193" s="155"/>
      <c r="G193" s="155"/>
      <c r="H193" s="157"/>
      <c r="I193" s="154"/>
      <c r="J193" s="154"/>
      <c r="K193" s="154"/>
      <c r="L193" s="155"/>
      <c r="M193" s="156"/>
      <c r="N193" s="155"/>
      <c r="O193" s="155"/>
      <c r="P193" s="155"/>
      <c r="Q193" s="157"/>
      <c r="R193" s="154"/>
      <c r="S193" s="154"/>
    </row>
    <row r="194">
      <c r="A194" s="154"/>
      <c r="B194" s="154"/>
      <c r="C194" s="155"/>
      <c r="D194" s="156"/>
      <c r="E194" s="155"/>
      <c r="F194" s="155"/>
      <c r="G194" s="155"/>
      <c r="H194" s="157"/>
      <c r="I194" s="154"/>
      <c r="J194" s="154"/>
      <c r="K194" s="154"/>
      <c r="L194" s="155"/>
      <c r="M194" s="156"/>
      <c r="N194" s="155"/>
      <c r="O194" s="155"/>
      <c r="P194" s="155"/>
      <c r="Q194" s="157"/>
      <c r="R194" s="154"/>
      <c r="S194" s="154"/>
    </row>
    <row r="195">
      <c r="A195" s="154"/>
      <c r="B195" s="154"/>
      <c r="C195" s="155"/>
      <c r="D195" s="156"/>
      <c r="E195" s="155"/>
      <c r="F195" s="155"/>
      <c r="G195" s="155"/>
      <c r="H195" s="157"/>
      <c r="I195" s="154"/>
      <c r="J195" s="154"/>
      <c r="K195" s="154"/>
      <c r="L195" s="155"/>
      <c r="M195" s="156"/>
      <c r="N195" s="155"/>
      <c r="O195" s="155"/>
      <c r="P195" s="155"/>
      <c r="Q195" s="157"/>
      <c r="R195" s="154"/>
      <c r="S195" s="154"/>
    </row>
    <row r="196">
      <c r="A196" s="154"/>
      <c r="B196" s="154"/>
      <c r="C196" s="155"/>
      <c r="D196" s="156"/>
      <c r="E196" s="155"/>
      <c r="F196" s="155"/>
      <c r="G196" s="155"/>
      <c r="H196" s="157"/>
      <c r="I196" s="154"/>
      <c r="J196" s="154"/>
      <c r="K196" s="154"/>
      <c r="L196" s="155"/>
      <c r="M196" s="156"/>
      <c r="N196" s="155"/>
      <c r="O196" s="155"/>
      <c r="P196" s="155"/>
      <c r="Q196" s="157"/>
      <c r="R196" s="154"/>
      <c r="S196" s="154"/>
    </row>
    <row r="197">
      <c r="A197" s="154"/>
      <c r="B197" s="154"/>
      <c r="C197" s="155"/>
      <c r="D197" s="156"/>
      <c r="E197" s="155"/>
      <c r="F197" s="155"/>
      <c r="G197" s="155"/>
      <c r="H197" s="157"/>
      <c r="I197" s="154"/>
      <c r="J197" s="154"/>
      <c r="K197" s="154"/>
      <c r="L197" s="155"/>
      <c r="M197" s="156"/>
      <c r="N197" s="155"/>
      <c r="O197" s="155"/>
      <c r="P197" s="155"/>
      <c r="Q197" s="157"/>
      <c r="R197" s="154"/>
      <c r="S197" s="154"/>
    </row>
    <row r="198">
      <c r="A198" s="154"/>
      <c r="B198" s="154"/>
      <c r="C198" s="155"/>
      <c r="D198" s="156"/>
      <c r="E198" s="155"/>
      <c r="F198" s="155"/>
      <c r="G198" s="155"/>
      <c r="H198" s="157"/>
      <c r="I198" s="154"/>
      <c r="J198" s="154"/>
      <c r="K198" s="154"/>
      <c r="L198" s="155"/>
      <c r="M198" s="156"/>
      <c r="N198" s="155"/>
      <c r="O198" s="155"/>
      <c r="P198" s="155"/>
      <c r="Q198" s="157"/>
      <c r="R198" s="154"/>
      <c r="S198" s="154"/>
    </row>
    <row r="199">
      <c r="A199" s="154"/>
      <c r="B199" s="154"/>
      <c r="C199" s="155"/>
      <c r="D199" s="156"/>
      <c r="E199" s="155"/>
      <c r="F199" s="155"/>
      <c r="G199" s="155"/>
      <c r="H199" s="157"/>
      <c r="I199" s="154"/>
      <c r="J199" s="154"/>
      <c r="K199" s="154"/>
      <c r="L199" s="155"/>
      <c r="M199" s="156"/>
      <c r="N199" s="155"/>
      <c r="O199" s="155"/>
      <c r="P199" s="155"/>
      <c r="Q199" s="157"/>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row r="591">
      <c r="A591" s="154"/>
      <c r="B591" s="154"/>
      <c r="C591" s="155"/>
      <c r="D591" s="156"/>
      <c r="E591" s="155"/>
      <c r="F591" s="155"/>
      <c r="G591" s="155"/>
      <c r="H591" s="157"/>
      <c r="I591" s="154"/>
      <c r="J591" s="154"/>
      <c r="K591" s="154"/>
      <c r="L591" s="155"/>
      <c r="M591" s="156"/>
      <c r="N591" s="155"/>
      <c r="O591" s="155"/>
      <c r="P591" s="155"/>
      <c r="Q591" s="157"/>
      <c r="R591" s="154"/>
      <c r="S591" s="154"/>
    </row>
    <row r="592">
      <c r="A592" s="154"/>
      <c r="B592" s="154"/>
      <c r="C592" s="155"/>
      <c r="D592" s="156"/>
      <c r="E592" s="155"/>
      <c r="F592" s="155"/>
      <c r="G592" s="155"/>
      <c r="H592" s="157"/>
      <c r="I592" s="154"/>
      <c r="J592" s="154"/>
      <c r="K592" s="154"/>
      <c r="L592" s="155"/>
      <c r="M592" s="156"/>
      <c r="N592" s="155"/>
      <c r="O592" s="155"/>
      <c r="P592" s="155"/>
      <c r="Q592" s="157"/>
      <c r="R592" s="154"/>
      <c r="S592" s="154"/>
    </row>
    <row r="593">
      <c r="A593" s="154"/>
      <c r="B593" s="154"/>
      <c r="C593" s="155"/>
      <c r="D593" s="156"/>
      <c r="E593" s="155"/>
      <c r="F593" s="155"/>
      <c r="G593" s="155"/>
      <c r="H593" s="157"/>
      <c r="I593" s="154"/>
      <c r="J593" s="154"/>
      <c r="K593" s="154"/>
      <c r="L593" s="155"/>
      <c r="M593" s="156"/>
      <c r="N593" s="155"/>
      <c r="O593" s="155"/>
      <c r="P593" s="155"/>
      <c r="Q593" s="157"/>
      <c r="R593" s="154"/>
      <c r="S593" s="154"/>
    </row>
    <row r="594">
      <c r="A594" s="154"/>
      <c r="B594" s="154"/>
      <c r="C594" s="155"/>
      <c r="D594" s="156"/>
      <c r="E594" s="155"/>
      <c r="F594" s="155"/>
      <c r="G594" s="155"/>
      <c r="H594" s="157"/>
      <c r="I594" s="154"/>
      <c r="J594" s="154"/>
      <c r="K594" s="154"/>
      <c r="L594" s="155"/>
      <c r="M594" s="156"/>
      <c r="N594" s="155"/>
      <c r="O594" s="155"/>
      <c r="P594" s="155"/>
      <c r="Q594" s="157"/>
      <c r="R594" s="154"/>
      <c r="S594" s="154"/>
    </row>
    <row r="595">
      <c r="A595" s="154"/>
      <c r="B595" s="154"/>
      <c r="C595" s="155"/>
      <c r="D595" s="156"/>
      <c r="E595" s="155"/>
      <c r="F595" s="155"/>
      <c r="G595" s="155"/>
      <c r="H595" s="157"/>
      <c r="I595" s="154"/>
      <c r="J595" s="154"/>
      <c r="K595" s="154"/>
      <c r="L595" s="155"/>
      <c r="M595" s="156"/>
      <c r="N595" s="155"/>
      <c r="O595" s="155"/>
      <c r="P595" s="155"/>
      <c r="Q595" s="157"/>
      <c r="R595" s="154"/>
      <c r="S595" s="154"/>
    </row>
    <row r="596">
      <c r="A596" s="154"/>
      <c r="B596" s="154"/>
      <c r="C596" s="155"/>
      <c r="D596" s="156"/>
      <c r="E596" s="155"/>
      <c r="F596" s="155"/>
      <c r="G596" s="155"/>
      <c r="H596" s="157"/>
      <c r="I596" s="154"/>
      <c r="J596" s="154"/>
      <c r="K596" s="154"/>
      <c r="L596" s="155"/>
      <c r="M596" s="156"/>
      <c r="N596" s="155"/>
      <c r="O596" s="155"/>
      <c r="P596" s="155"/>
      <c r="Q596" s="157"/>
      <c r="R596" s="154"/>
      <c r="S596" s="154"/>
    </row>
    <row r="597">
      <c r="A597" s="154"/>
      <c r="B597" s="154"/>
      <c r="C597" s="155"/>
      <c r="D597" s="156"/>
      <c r="E597" s="155"/>
      <c r="F597" s="155"/>
      <c r="G597" s="155"/>
      <c r="H597" s="157"/>
      <c r="I597" s="154"/>
      <c r="J597" s="154"/>
      <c r="K597" s="154"/>
      <c r="L597" s="155"/>
      <c r="M597" s="156"/>
      <c r="N597" s="155"/>
      <c r="O597" s="155"/>
      <c r="P597" s="155"/>
      <c r="Q597" s="157"/>
      <c r="R597" s="154"/>
      <c r="S597" s="154"/>
    </row>
  </sheetData>
  <mergeCells count="6">
    <mergeCell ref="C1:H1"/>
    <mergeCell ref="L1:Q1"/>
    <mergeCell ref="C2:H2"/>
    <mergeCell ref="L2:Q2"/>
    <mergeCell ref="C3:H3"/>
    <mergeCell ref="L3:Q3"/>
  </mergeCells>
  <dataValidations>
    <dataValidation type="list" allowBlank="1" showErrorMessage="1" sqref="A1:C1 I1:L1 R1:S1">
      <formula1>'All Competencies'!$A$3:$A597</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D10"/>
    <hyperlink r:id="rId21" ref="H10"/>
    <hyperlink r:id="rId22" ref="M10"/>
    <hyperlink r:id="rId23" ref="D11"/>
    <hyperlink r:id="rId24" ref="H11"/>
    <hyperlink r:id="rId25" ref="M11"/>
    <hyperlink r:id="rId26" ref="D12"/>
    <hyperlink r:id="rId27" ref="H12"/>
    <hyperlink r:id="rId28" ref="M12"/>
    <hyperlink r:id="rId29" ref="D13"/>
    <hyperlink r:id="rId30" ref="H13"/>
    <hyperlink r:id="rId31" ref="M13"/>
    <hyperlink r:id="rId32" ref="D14"/>
    <hyperlink r:id="rId33" ref="H14"/>
    <hyperlink r:id="rId34" ref="M14"/>
    <hyperlink r:id="rId35" ref="D15"/>
    <hyperlink r:id="rId36" ref="H15"/>
    <hyperlink r:id="rId37" ref="M15"/>
    <hyperlink r:id="rId38" ref="D16"/>
    <hyperlink r:id="rId39" ref="H16"/>
    <hyperlink r:id="rId40" ref="M16"/>
    <hyperlink r:id="rId41" ref="D17"/>
    <hyperlink r:id="rId42" ref="H17"/>
    <hyperlink r:id="rId43" ref="M17"/>
    <hyperlink r:id="rId44" ref="D18"/>
    <hyperlink r:id="rId45" ref="M18"/>
    <hyperlink r:id="rId46" ref="D19"/>
    <hyperlink r:id="rId47" ref="M19"/>
    <hyperlink r:id="rId48" ref="D20"/>
    <hyperlink r:id="rId49" ref="M20"/>
    <hyperlink r:id="rId50" ref="D21"/>
    <hyperlink r:id="rId51" ref="M21"/>
    <hyperlink r:id="rId52" ref="D22"/>
    <hyperlink r:id="rId53" ref="M22"/>
    <hyperlink r:id="rId54" ref="D23"/>
    <hyperlink r:id="rId55" ref="M23"/>
    <hyperlink r:id="rId56" ref="D24"/>
    <hyperlink r:id="rId57" ref="M24"/>
    <hyperlink r:id="rId58" ref="D25"/>
    <hyperlink r:id="rId59" ref="M25"/>
    <hyperlink r:id="rId60" ref="D26"/>
    <hyperlink r:id="rId61" ref="M26"/>
    <hyperlink r:id="rId62" ref="D27"/>
    <hyperlink r:id="rId63" ref="M27"/>
    <hyperlink r:id="rId64" ref="D28"/>
    <hyperlink r:id="rId65" ref="M28"/>
    <hyperlink r:id="rId66" ref="D29"/>
    <hyperlink r:id="rId67" ref="M29"/>
    <hyperlink r:id="rId68" ref="D30"/>
    <hyperlink r:id="rId69" ref="M30"/>
    <hyperlink r:id="rId70" ref="D31"/>
    <hyperlink r:id="rId71" ref="M31"/>
    <hyperlink r:id="rId72" ref="D32"/>
    <hyperlink r:id="rId73" ref="M32"/>
    <hyperlink r:id="rId74" ref="D33"/>
    <hyperlink r:id="rId75" ref="M33"/>
    <hyperlink r:id="rId76" ref="D34"/>
    <hyperlink r:id="rId77" ref="M34"/>
    <hyperlink r:id="rId78" ref="D35"/>
    <hyperlink r:id="rId79" ref="M35"/>
    <hyperlink r:id="rId80" ref="D36"/>
    <hyperlink r:id="rId81" ref="M36"/>
    <hyperlink r:id="rId82" ref="D37"/>
    <hyperlink r:id="rId83" ref="M37"/>
    <hyperlink r:id="rId84" ref="D38"/>
    <hyperlink r:id="rId85" ref="M38"/>
    <hyperlink r:id="rId86" ref="D39"/>
    <hyperlink r:id="rId87" ref="M39"/>
    <hyperlink r:id="rId88" ref="D40"/>
    <hyperlink r:id="rId89" ref="M40"/>
    <hyperlink r:id="rId90" ref="D41"/>
    <hyperlink r:id="rId91" ref="M41"/>
    <hyperlink r:id="rId92" ref="D42"/>
    <hyperlink r:id="rId93" ref="D43"/>
    <hyperlink r:id="rId94" ref="D44"/>
    <hyperlink r:id="rId95" ref="D45"/>
    <hyperlink r:id="rId96" ref="D46"/>
    <hyperlink r:id="rId97" ref="D47"/>
    <hyperlink r:id="rId98" ref="D48"/>
    <hyperlink r:id="rId99" ref="D49"/>
    <hyperlink r:id="rId100" ref="D50"/>
    <hyperlink r:id="rId101" ref="D51"/>
    <hyperlink r:id="rId102" ref="D52"/>
    <hyperlink r:id="rId103" ref="D53"/>
    <hyperlink r:id="rId104" ref="D54"/>
    <hyperlink r:id="rId105" ref="D55"/>
    <hyperlink r:id="rId106" ref="D56"/>
    <hyperlink r:id="rId107" ref="D57"/>
    <hyperlink r:id="rId108" ref="D58"/>
    <hyperlink r:id="rId109" ref="D59"/>
    <hyperlink r:id="rId110" ref="D60"/>
    <hyperlink r:id="rId111" ref="D61"/>
    <hyperlink r:id="rId112" ref="D62"/>
    <hyperlink r:id="rId113" ref="D63"/>
    <hyperlink r:id="rId114" ref="D64"/>
    <hyperlink r:id="rId115" ref="D65"/>
    <hyperlink r:id="rId116" ref="D66"/>
    <hyperlink r:id="rId117" ref="D67"/>
    <hyperlink r:id="rId118" ref="D68"/>
    <hyperlink r:id="rId119" ref="D69"/>
    <hyperlink r:id="rId120" ref="D70"/>
    <hyperlink r:id="rId121" ref="D71"/>
    <hyperlink r:id="rId122" ref="D72"/>
    <hyperlink r:id="rId123" ref="D73"/>
    <hyperlink r:id="rId124" ref="D74"/>
    <hyperlink r:id="rId125" ref="D75"/>
    <hyperlink r:id="rId126" ref="D76"/>
    <hyperlink r:id="rId127" ref="D77"/>
    <hyperlink r:id="rId128" ref="D78"/>
    <hyperlink r:id="rId129" ref="D79"/>
    <hyperlink r:id="rId130" ref="D80"/>
    <hyperlink r:id="rId131" ref="D81"/>
    <hyperlink r:id="rId132" ref="D82"/>
    <hyperlink r:id="rId133" ref="D83"/>
    <hyperlink r:id="rId134" ref="D84"/>
    <hyperlink r:id="rId135" ref="D85"/>
    <hyperlink r:id="rId136" ref="D86"/>
    <hyperlink r:id="rId137" ref="D87"/>
    <hyperlink r:id="rId138" ref="D88"/>
    <hyperlink r:id="rId139" ref="D89"/>
    <hyperlink r:id="rId140" ref="D90"/>
    <hyperlink r:id="rId141" ref="D91"/>
    <hyperlink r:id="rId142" ref="D92"/>
    <hyperlink r:id="rId143" ref="D93"/>
    <hyperlink r:id="rId144" ref="D94"/>
    <hyperlink r:id="rId145" ref="D95"/>
    <hyperlink r:id="rId146" ref="D96"/>
    <hyperlink r:id="rId147" ref="D97"/>
    <hyperlink r:id="rId148" ref="D98"/>
    <hyperlink r:id="rId149" ref="D99"/>
    <hyperlink r:id="rId150" ref="D100"/>
    <hyperlink r:id="rId151" ref="D101"/>
    <hyperlink r:id="rId152" ref="D102"/>
    <hyperlink r:id="rId153" ref="D103"/>
    <hyperlink r:id="rId154" ref="D104"/>
    <hyperlink r:id="rId155" ref="D105"/>
    <hyperlink r:id="rId156" ref="D106"/>
    <hyperlink r:id="rId157" ref="D107"/>
    <hyperlink r:id="rId158" ref="D108"/>
    <hyperlink r:id="rId159" ref="D109"/>
    <hyperlink r:id="rId160" ref="D110"/>
    <hyperlink r:id="rId161" ref="D111"/>
    <hyperlink r:id="rId162" ref="D112"/>
    <hyperlink r:id="rId163" ref="D113"/>
    <hyperlink r:id="rId164" ref="D114"/>
    <hyperlink r:id="rId165" ref="D115"/>
    <hyperlink r:id="rId166" ref="D116"/>
    <hyperlink r:id="rId167" ref="D117"/>
    <hyperlink r:id="rId168" ref="D118"/>
    <hyperlink r:id="rId169" ref="D119"/>
    <hyperlink r:id="rId170" ref="D120"/>
    <hyperlink r:id="rId171" ref="D121"/>
    <hyperlink r:id="rId172" ref="D122"/>
  </hyperlinks>
  <drawing r:id="rId17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20.13"/>
    <col customWidth="1" min="6" max="6" width="22.38"/>
    <col customWidth="1" min="7" max="7" width="11.38"/>
    <col customWidth="1" min="8" max="8" width="43.88"/>
    <col customWidth="1" min="9" max="11" width="0.63"/>
    <col customWidth="1" min="12" max="12" width="11.88"/>
    <col customWidth="1" min="13" max="13" width="48.0"/>
    <col customWidth="1" min="14" max="14" width="18.88"/>
    <col customWidth="1" min="15" max="15" width="22.38"/>
    <col customWidth="1" min="16" max="16" width="11.38"/>
    <col customWidth="1" min="17" max="17" width="43.88"/>
    <col customWidth="1" min="18" max="19" width="0.63"/>
  </cols>
  <sheetData>
    <row r="1" ht="27.75" customHeight="1" outlineLevel="1">
      <c r="A1" s="130"/>
      <c r="B1" s="130"/>
      <c r="C1" s="131" t="s">
        <v>426</v>
      </c>
      <c r="I1" s="130"/>
      <c r="J1" s="130"/>
      <c r="K1" s="130"/>
      <c r="L1" s="131" t="s">
        <v>582</v>
      </c>
      <c r="R1" s="130"/>
      <c r="S1" s="130"/>
    </row>
    <row r="2" outlineLevel="1">
      <c r="A2" s="132"/>
      <c r="B2" s="132"/>
      <c r="C2" s="133" t="s">
        <v>1986</v>
      </c>
      <c r="I2" s="132"/>
      <c r="J2" s="132"/>
      <c r="K2" s="132"/>
      <c r="L2" s="133" t="s">
        <v>1986</v>
      </c>
      <c r="R2" s="132"/>
      <c r="S2" s="132"/>
    </row>
    <row r="3" ht="48.0" customHeight="1" outlineLevel="1">
      <c r="A3" s="134"/>
      <c r="B3" s="134"/>
      <c r="C3" s="135" t="str">
        <f>IFERROR(__xludf.DUMMYFUNCTION("IFERROR(UNIQUE(FILTER('Competency Learning Paths'!N:N,'Competency Learning Paths'!A:A= C1)))"),"Marketing, Market Research, Content Marketing, Digital Marketing, Market Analysis, SEO, Social Media Marketing, Marketing Strategies")</f>
        <v>Marketing, Market Research, Content Marketing, Digital Marketing, Market Analysis, SEO, Social Media Marketing, Marketing Strategies</v>
      </c>
      <c r="I3" s="160"/>
      <c r="J3" s="160"/>
      <c r="K3" s="160"/>
      <c r="L3" s="135" t="str">
        <f>IFERROR(__xludf.DUMMYFUNCTION("IFERROR(UNIQUE(FILTER('Competency Learning Paths'!N:N,'Competency Learning Paths'!A:A= L1)))"),"Innovation, Creativity, Ingenuity, Cultivates Innovation")</f>
        <v>Innovation, Creativity, Ingenuity, Cultivates Innovation</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IFERROR(__xludf.DUMMYFUNCTION("""COMPUTED_VALUE"""),2801190.0)</f>
        <v>2801190</v>
      </c>
      <c r="D5" s="142" t="str">
        <f>IFERROR(__xludf.DUMMYFUNCTION("""COMPUTED_VALUE"""),"Pricing Strategy: Value-Based Pricing")</f>
        <v>Pricing Strategy: Value-Based Pricing</v>
      </c>
      <c r="E5" s="141" t="str">
        <f>IFERROR(__xludf.DUMMYFUNCTION("""COMPUTED_VALUE"""),"C-Suite")</f>
        <v>C-Suite</v>
      </c>
      <c r="F5" s="141" t="str">
        <f>IFERROR(__xludf.DUMMYFUNCTION("""COMPUTED_VALUE"""),"Advanced")</f>
        <v>Advanced</v>
      </c>
      <c r="G5" s="143">
        <f>IFERROR(__xludf.DUMMYFUNCTION("""COMPUTED_VALUE"""),0.03284722222222222)</f>
        <v>0.03284722222</v>
      </c>
      <c r="H5" s="144" t="str">
        <f>IFERROR(__xludf.DUMMYFUNCTION("""COMPUTED_VALUE"""),"Become an AMA Professional Certified Marketer in Digital Marketing")</f>
        <v>Become an AMA Professional Certified Marketer in Digital Marketing</v>
      </c>
      <c r="I5" s="140"/>
      <c r="J5" s="140"/>
      <c r="K5" s="140"/>
      <c r="L5" s="141">
        <f>IFERROR(__xludf.DUMMYFUNCTION("""COMPUTED_VALUE"""),2810399.0)</f>
        <v>2810399</v>
      </c>
      <c r="M5" s="145" t="str">
        <f>IFERROR(__xludf.DUMMYFUNCTION("""COMPUTED_VALUE"""),"Building Creative Organizations")</f>
        <v>Building Creative Organizations</v>
      </c>
      <c r="N5" s="141" t="str">
        <f>IFERROR(__xludf.DUMMYFUNCTION("""COMPUTED_VALUE"""),"C-Suite")</f>
        <v>C-Suite</v>
      </c>
      <c r="O5" s="141" t="str">
        <f>IFERROR(__xludf.DUMMYFUNCTION("""COMPUTED_VALUE"""),"Advanced")</f>
        <v>Advanced</v>
      </c>
      <c r="P5" s="146">
        <f>IFERROR(__xludf.DUMMYFUNCTION("""COMPUTED_VALUE"""),0.04398148148148148)</f>
        <v>0.04398148148</v>
      </c>
      <c r="Q5" s="144" t="str">
        <f>IFERROR(__xludf.DUMMYFUNCTION("""COMPUTED_VALUE"""),"Fostering Innovation")</f>
        <v>Fostering Innovation</v>
      </c>
      <c r="R5" s="140"/>
      <c r="S5" s="140"/>
    </row>
    <row r="6" ht="33.75" customHeight="1">
      <c r="A6" s="140"/>
      <c r="B6" s="140"/>
      <c r="C6" s="147">
        <f>IFERROR(__xludf.DUMMYFUNCTION("""COMPUTED_VALUE"""),693111.0)</f>
        <v>693111</v>
      </c>
      <c r="D6" s="148" t="str">
        <f>IFERROR(__xludf.DUMMYFUNCTION("""COMPUTED_VALUE"""),"CMO Foundations: Creating a Marketing Culture")</f>
        <v>CMO Foundations: Creating a Marketing Culture</v>
      </c>
      <c r="E6" s="147" t="str">
        <f>IFERROR(__xludf.DUMMYFUNCTION("""COMPUTED_VALUE"""),"C-Suite")</f>
        <v>C-Suite</v>
      </c>
      <c r="F6" s="141" t="str">
        <f>IFERROR(__xludf.DUMMYFUNCTION("""COMPUTED_VALUE"""),"Advanced")</f>
        <v>Advanced</v>
      </c>
      <c r="G6" s="143">
        <f>IFERROR(__xludf.DUMMYFUNCTION("""COMPUTED_VALUE"""),0.04199074074074074)</f>
        <v>0.04199074074</v>
      </c>
      <c r="H6" s="149" t="str">
        <f>IFERROR(__xludf.DUMMYFUNCTION("""COMPUTED_VALUE"""),"Become a Content Strategist")</f>
        <v>Become a Content Strategist</v>
      </c>
      <c r="I6" s="140"/>
      <c r="J6" s="140"/>
      <c r="K6" s="140"/>
      <c r="L6" s="147">
        <f>IFERROR(__xludf.DUMMYFUNCTION("""COMPUTED_VALUE"""),2815157.0)</f>
        <v>2815157</v>
      </c>
      <c r="M6" s="150" t="str">
        <f>IFERROR(__xludf.DUMMYFUNCTION("""COMPUTED_VALUE"""),"Agile Software Development: Creating an Agile Culture")</f>
        <v>Agile Software Development: Creating an Agile Culture</v>
      </c>
      <c r="N6" s="147" t="str">
        <f>IFERROR(__xludf.DUMMYFUNCTION("""COMPUTED_VALUE"""),"C-Suite")</f>
        <v>C-Suite</v>
      </c>
      <c r="O6" s="141" t="str">
        <f>IFERROR(__xludf.DUMMYFUNCTION("""COMPUTED_VALUE"""),"Beginner")</f>
        <v>Beginner</v>
      </c>
      <c r="P6" s="146">
        <f>IFERROR(__xludf.DUMMYFUNCTION("""COMPUTED_VALUE"""),0.060162037037037035)</f>
        <v>0.06016203704</v>
      </c>
      <c r="Q6" s="149" t="str">
        <f>IFERROR(__xludf.DUMMYFUNCTION("""COMPUTED_VALUE"""),"Develop Your Creative Thinking and Innovation Skills")</f>
        <v>Develop Your Creative Thinking and Innovation Skills</v>
      </c>
      <c r="R6" s="140"/>
      <c r="S6" s="140"/>
    </row>
    <row r="7" ht="33.75" customHeight="1">
      <c r="A7" s="140"/>
      <c r="B7" s="140"/>
      <c r="C7" s="147">
        <f>IFERROR(__xludf.DUMMYFUNCTION("""COMPUTED_VALUE"""),740417.0)</f>
        <v>740417</v>
      </c>
      <c r="D7" s="148" t="str">
        <f>IFERROR(__xludf.DUMMYFUNCTION("""COMPUTED_VALUE"""),"CMO Foundations: Measuring Marketing Effectiveness (ROI)")</f>
        <v>CMO Foundations: Measuring Marketing Effectiveness (ROI)</v>
      </c>
      <c r="E7" s="147" t="str">
        <f>IFERROR(__xludf.DUMMYFUNCTION("""COMPUTED_VALUE"""),"C-Suite")</f>
        <v>C-Suite</v>
      </c>
      <c r="F7" s="141" t="str">
        <f>IFERROR(__xludf.DUMMYFUNCTION("""COMPUTED_VALUE"""),"Beginner")</f>
        <v>Beginner</v>
      </c>
      <c r="G7" s="143">
        <f>IFERROR(__xludf.DUMMYFUNCTION("""COMPUTED_VALUE"""),0.030462962962962963)</f>
        <v>0.03046296296</v>
      </c>
      <c r="H7" s="149" t="str">
        <f>IFERROR(__xludf.DUMMYFUNCTION("""COMPUTED_VALUE"""),"Become a Digital Advertising Specialist")</f>
        <v>Become a Digital Advertising Specialist</v>
      </c>
      <c r="I7" s="140"/>
      <c r="J7" s="140"/>
      <c r="K7" s="140"/>
      <c r="L7" s="147">
        <f>IFERROR(__xludf.DUMMYFUNCTION("""COMPUTED_VALUE"""),585010.0)</f>
        <v>585010</v>
      </c>
      <c r="M7" s="150" t="str">
        <f>IFERROR(__xludf.DUMMYFUNCTION("""COMPUTED_VALUE"""),"Leading with Innovation")</f>
        <v>Leading with Innovation</v>
      </c>
      <c r="N7" s="147" t="str">
        <f>IFERROR(__xludf.DUMMYFUNCTION("""COMPUTED_VALUE"""),"C-Suite")</f>
        <v>C-Suite</v>
      </c>
      <c r="O7" s="141" t="str">
        <f>IFERROR(__xludf.DUMMYFUNCTION("""COMPUTED_VALUE"""),"Beginner + Intermediate")</f>
        <v>Beginner + Intermediate</v>
      </c>
      <c r="P7" s="146">
        <f>IFERROR(__xludf.DUMMYFUNCTION("""COMPUTED_VALUE"""),0.0635300925925926)</f>
        <v>0.06353009259</v>
      </c>
      <c r="Q7" s="149" t="str">
        <f>IFERROR(__xludf.DUMMYFUNCTION("""COMPUTED_VALUE"""),"Improve Your Creativity Skills")</f>
        <v>Improve Your Creativity Skills</v>
      </c>
      <c r="R7" s="140"/>
      <c r="S7" s="140"/>
    </row>
    <row r="8" ht="33.75" customHeight="1">
      <c r="A8" s="140"/>
      <c r="B8" s="140"/>
      <c r="C8" s="147">
        <f>IFERROR(__xludf.DUMMYFUNCTION("""COMPUTED_VALUE"""),5015866.0)</f>
        <v>5015866</v>
      </c>
      <c r="D8" s="148" t="str">
        <f>IFERROR(__xludf.DUMMYFUNCTION("""COMPUTED_VALUE"""),"Blue Ocean Shift: Beyond Competing (Blinkist Summary)")</f>
        <v>Blue Ocean Shift: Beyond Competing (Blinkist Summary)</v>
      </c>
      <c r="E8" s="147" t="str">
        <f>IFERROR(__xludf.DUMMYFUNCTION("""COMPUTED_VALUE"""),"Senior Manager")</f>
        <v>Senior Manager</v>
      </c>
      <c r="F8" s="141" t="str">
        <f>IFERROR(__xludf.DUMMYFUNCTION("""COMPUTED_VALUE"""),"Intermediate")</f>
        <v>Intermediate</v>
      </c>
      <c r="G8" s="143">
        <f>IFERROR(__xludf.DUMMYFUNCTION("""COMPUTED_VALUE"""),0.016747685185185185)</f>
        <v>0.01674768519</v>
      </c>
      <c r="H8" s="149" t="str">
        <f>IFERROR(__xludf.DUMMYFUNCTION("""COMPUTED_VALUE"""),"Become a Digital Marketing Specialist")</f>
        <v>Become a Digital Marketing Specialist</v>
      </c>
      <c r="I8" s="140"/>
      <c r="J8" s="140"/>
      <c r="K8" s="140"/>
      <c r="L8" s="147">
        <f>IFERROR(__xludf.DUMMYFUNCTION("""COMPUTED_VALUE"""),2244040.0)</f>
        <v>2244040</v>
      </c>
      <c r="M8" s="150" t="str">
        <f>IFERROR(__xludf.DUMMYFUNCTION("""COMPUTED_VALUE"""),"Mapping Innovation: A Playbook for Navigating a Disruptive Age (getAbstract Summary)")</f>
        <v>Mapping Innovation: A Playbook for Navigating a Disruptive Age (getAbstract Summary)</v>
      </c>
      <c r="N8" s="147" t="str">
        <f>IFERROR(__xludf.DUMMYFUNCTION("""COMPUTED_VALUE"""),"C-Suite")</f>
        <v>C-Suite</v>
      </c>
      <c r="O8" s="141" t="str">
        <f>IFERROR(__xludf.DUMMYFUNCTION("""COMPUTED_VALUE"""),"General")</f>
        <v>General</v>
      </c>
      <c r="P8" s="146">
        <f>IFERROR(__xludf.DUMMYFUNCTION("""COMPUTED_VALUE"""),0.00636574074074074)</f>
        <v>0.006365740741</v>
      </c>
      <c r="Q8" s="149" t="str">
        <f>IFERROR(__xludf.DUMMYFUNCTION("""COMPUTED_VALUE"""),"Improve Your Problem Solving Skills")</f>
        <v>Improve Your Problem Solving Skills</v>
      </c>
      <c r="R8" s="140"/>
      <c r="S8" s="140"/>
    </row>
    <row r="9" ht="33.75" customHeight="1">
      <c r="A9" s="140"/>
      <c r="B9" s="140"/>
      <c r="C9" s="147">
        <f>IFERROR(__xludf.DUMMYFUNCTION("""COMPUTED_VALUE"""),2875267.0)</f>
        <v>2875267</v>
      </c>
      <c r="D9" s="148" t="str">
        <f>IFERROR(__xludf.DUMMYFUNCTION("""COMPUTED_VALUE"""),"Brand Leadership: Building Brand and Culture")</f>
        <v>Brand Leadership: Building Brand and Culture</v>
      </c>
      <c r="E9" s="147" t="str">
        <f>IFERROR(__xludf.DUMMYFUNCTION("""COMPUTED_VALUE"""),"Senior Manager")</f>
        <v>Senior Manager</v>
      </c>
      <c r="F9" s="141" t="str">
        <f>IFERROR(__xludf.DUMMYFUNCTION("""COMPUTED_VALUE"""),"Advanced")</f>
        <v>Advanced</v>
      </c>
      <c r="G9" s="143">
        <f>IFERROR(__xludf.DUMMYFUNCTION("""COMPUTED_VALUE"""),0.03125)</f>
        <v>0.03125</v>
      </c>
      <c r="H9" s="149" t="str">
        <f>IFERROR(__xludf.DUMMYFUNCTION("""COMPUTED_VALUE"""),"Become a Digital Marketer")</f>
        <v>Become a Digital Marketer</v>
      </c>
      <c r="I9" s="140"/>
      <c r="J9" s="140"/>
      <c r="K9" s="140"/>
      <c r="L9" s="147">
        <f>IFERROR(__xludf.DUMMYFUNCTION("""COMPUTED_VALUE"""),5015872.0)</f>
        <v>5015872</v>
      </c>
      <c r="M9" s="148" t="str">
        <f>IFERROR(__xludf.DUMMYFUNCTION("""COMPUTED_VALUE"""),"Built to Last: Successful Habits of Visionary Companies (Blinkist Summary)")</f>
        <v>Built to Last: Successful Habits of Visionary Companies (Blinkist Summary)</v>
      </c>
      <c r="N9" s="147" t="str">
        <f>IFERROR(__xludf.DUMMYFUNCTION("""COMPUTED_VALUE"""),"C-Suite")</f>
        <v>C-Suite</v>
      </c>
      <c r="O9" s="141" t="str">
        <f>IFERROR(__xludf.DUMMYFUNCTION("""COMPUTED_VALUE"""),"Intermediate")</f>
        <v>Intermediate</v>
      </c>
      <c r="P9" s="143">
        <f>IFERROR(__xludf.DUMMYFUNCTION("""COMPUTED_VALUE"""),0.012939814814814815)</f>
        <v>0.01293981481</v>
      </c>
      <c r="Q9" s="149" t="str">
        <f>IFERROR(__xludf.DUMMYFUNCTION("""COMPUTED_VALUE"""),"Stay Competitive Using Design Thinking")</f>
        <v>Stay Competitive Using Design Thinking</v>
      </c>
      <c r="R9" s="140"/>
      <c r="S9" s="140"/>
    </row>
    <row r="10" ht="33.75" customHeight="1">
      <c r="A10" s="140"/>
      <c r="B10" s="140"/>
      <c r="C10" s="147">
        <f>IFERROR(__xludf.DUMMYFUNCTION("""COMPUTED_VALUE"""),447322.0)</f>
        <v>447322</v>
      </c>
      <c r="D10" s="150" t="str">
        <f>IFERROR(__xludf.DUMMYFUNCTION("""COMPUTED_VALUE"""),"Leading a Marketing Team")</f>
        <v>Leading a Marketing Team</v>
      </c>
      <c r="E10" s="147" t="str">
        <f>IFERROR(__xludf.DUMMYFUNCTION("""COMPUTED_VALUE"""),"Manager")</f>
        <v>Manager</v>
      </c>
      <c r="F10" s="141" t="str">
        <f>IFERROR(__xludf.DUMMYFUNCTION("""COMPUTED_VALUE"""),"Intermediate")</f>
        <v>Intermediate</v>
      </c>
      <c r="G10" s="143">
        <f>IFERROR(__xludf.DUMMYFUNCTION("""COMPUTED_VALUE"""),0.032789351851851854)</f>
        <v>0.03278935185</v>
      </c>
      <c r="H10" s="149" t="str">
        <f>IFERROR(__xludf.DUMMYFUNCTION("""COMPUTED_VALUE"""),"Become a Marketing Coordinator")</f>
        <v>Become a Marketing Coordinator</v>
      </c>
      <c r="I10" s="140"/>
      <c r="J10" s="140"/>
      <c r="K10" s="140"/>
      <c r="L10" s="147">
        <f>IFERROR(__xludf.DUMMYFUNCTION("""COMPUTED_VALUE"""),2818081.0)</f>
        <v>2818081</v>
      </c>
      <c r="M10" s="150" t="str">
        <f>IFERROR(__xludf.DUMMYFUNCTION("""COMPUTED_VALUE"""),"Lean Technology Strategy: Managing the Innovation Portfolio")</f>
        <v>Lean Technology Strategy: Managing the Innovation Portfolio</v>
      </c>
      <c r="N10" s="147" t="str">
        <f>IFERROR(__xludf.DUMMYFUNCTION("""COMPUTED_VALUE"""),"C-Suite")</f>
        <v>C-Suite</v>
      </c>
      <c r="O10" s="141" t="str">
        <f>IFERROR(__xludf.DUMMYFUNCTION("""COMPUTED_VALUE"""),"Intermediate")</f>
        <v>Intermediate</v>
      </c>
      <c r="P10" s="143">
        <f>IFERROR(__xludf.DUMMYFUNCTION("""COMPUTED_VALUE"""),0.029756944444444444)</f>
        <v>0.02975694444</v>
      </c>
      <c r="Q10" s="149" t="str">
        <f>IFERROR(__xludf.DUMMYFUNCTION("""COMPUTED_VALUE"""),"Working with Creatives")</f>
        <v>Working with Creatives</v>
      </c>
      <c r="R10" s="140"/>
      <c r="S10" s="140"/>
    </row>
    <row r="11" ht="33.75" customHeight="1">
      <c r="A11" s="140"/>
      <c r="B11" s="140"/>
      <c r="C11" s="147">
        <f>IFERROR(__xludf.DUMMYFUNCTION("""COMPUTED_VALUE"""),2838174.0)</f>
        <v>2838174</v>
      </c>
      <c r="D11" s="150" t="str">
        <f>IFERROR(__xludf.DUMMYFUNCTION("""COMPUTED_VALUE"""),"SEO: Link Building")</f>
        <v>SEO: Link Building</v>
      </c>
      <c r="E11" s="147" t="str">
        <f>IFERROR(__xludf.DUMMYFUNCTION("""COMPUTED_VALUE"""),"Individual Contributor")</f>
        <v>Individual Contributor</v>
      </c>
      <c r="F11" s="141" t="str">
        <f>IFERROR(__xludf.DUMMYFUNCTION("""COMPUTED_VALUE"""),"Advanced")</f>
        <v>Advanced</v>
      </c>
      <c r="G11" s="143">
        <f>IFERROR(__xludf.DUMMYFUNCTION("""COMPUTED_VALUE"""),0.048796296296296296)</f>
        <v>0.0487962963</v>
      </c>
      <c r="H11" s="149" t="str">
        <f>IFERROR(__xludf.DUMMYFUNCTION("""COMPUTED_VALUE"""),"Become a Marketing Specialist")</f>
        <v>Become a Marketing Specialist</v>
      </c>
      <c r="I11" s="140"/>
      <c r="J11" s="140"/>
      <c r="K11" s="140"/>
      <c r="L11" s="147">
        <f>IFERROR(__xludf.DUMMYFUNCTION("""COMPUTED_VALUE"""),492724.0)</f>
        <v>492724</v>
      </c>
      <c r="M11" s="150" t="str">
        <f>IFERROR(__xludf.DUMMYFUNCTION("""COMPUTED_VALUE"""),"Service Innovation")</f>
        <v>Service Innovation</v>
      </c>
      <c r="N11" s="147" t="str">
        <f>IFERROR(__xludf.DUMMYFUNCTION("""COMPUTED_VALUE"""),"Senior Manager")</f>
        <v>Senior Manager</v>
      </c>
      <c r="O11" s="141" t="str">
        <f>IFERROR(__xludf.DUMMYFUNCTION("""COMPUTED_VALUE"""),"Advanced")</f>
        <v>Advanced</v>
      </c>
      <c r="P11" s="143">
        <f>IFERROR(__xludf.DUMMYFUNCTION("""COMPUTED_VALUE"""),0.04037037037037037)</f>
        <v>0.04037037037</v>
      </c>
      <c r="Q11" s="151"/>
      <c r="R11" s="140"/>
      <c r="S11" s="140"/>
    </row>
    <row r="12" ht="33.75" customHeight="1">
      <c r="A12" s="140"/>
      <c r="B12" s="140"/>
      <c r="C12" s="147">
        <f>IFERROR(__xludf.DUMMYFUNCTION("""COMPUTED_VALUE"""),2878185.0)</f>
        <v>2878185</v>
      </c>
      <c r="D12" s="150" t="str">
        <f>IFERROR(__xludf.DUMMYFUNCTION("""COMPUTED_VALUE"""),"Marketing Tools: Growth Marketing")</f>
        <v>Marketing Tools: Growth Marketing</v>
      </c>
      <c r="E12" s="147" t="str">
        <f>IFERROR(__xludf.DUMMYFUNCTION("""COMPUTED_VALUE"""),"Individual Contributor")</f>
        <v>Individual Contributor</v>
      </c>
      <c r="F12" s="141" t="str">
        <f>IFERROR(__xludf.DUMMYFUNCTION("""COMPUTED_VALUE"""),"Beginner")</f>
        <v>Beginner</v>
      </c>
      <c r="G12" s="143">
        <f>IFERROR(__xludf.DUMMYFUNCTION("""COMPUTED_VALUE"""),0.035208333333333335)</f>
        <v>0.03520833333</v>
      </c>
      <c r="H12" s="149" t="str">
        <f>IFERROR(__xludf.DUMMYFUNCTION("""COMPUTED_VALUE"""),"Become an Online Marketing Manager")</f>
        <v>Become an Online Marketing Manager</v>
      </c>
      <c r="I12" s="140"/>
      <c r="J12" s="140"/>
      <c r="K12" s="140"/>
      <c r="L12" s="147">
        <f>IFERROR(__xludf.DUMMYFUNCTION("""COMPUTED_VALUE"""),2864209.0)</f>
        <v>2864209</v>
      </c>
      <c r="M12" s="150" t="str">
        <f>IFERROR(__xludf.DUMMYFUNCTION("""COMPUTED_VALUE"""),"Innovating Out of Crisis")</f>
        <v>Innovating Out of Crisis</v>
      </c>
      <c r="N12" s="147" t="str">
        <f>IFERROR(__xludf.DUMMYFUNCTION("""COMPUTED_VALUE"""),"Senior Manager")</f>
        <v>Senior Manager</v>
      </c>
      <c r="O12" s="141" t="str">
        <f>IFERROR(__xludf.DUMMYFUNCTION("""COMPUTED_VALUE"""),"Advanced")</f>
        <v>Advanced</v>
      </c>
      <c r="P12" s="143">
        <f>IFERROR(__xludf.DUMMYFUNCTION("""COMPUTED_VALUE"""),0.02144675925925926)</f>
        <v>0.02144675926</v>
      </c>
      <c r="Q12" s="151"/>
      <c r="R12" s="140"/>
      <c r="S12" s="140"/>
    </row>
    <row r="13" ht="33.75" customHeight="1">
      <c r="A13" s="140"/>
      <c r="B13" s="140"/>
      <c r="C13" s="147">
        <f>IFERROR(__xludf.DUMMYFUNCTION("""COMPUTED_VALUE"""),3129485.0)</f>
        <v>3129485</v>
      </c>
      <c r="D13" s="150" t="str">
        <f>IFERROR(__xludf.DUMMYFUNCTION("""COMPUTED_VALUE"""),"Social Media Marketing Tips")</f>
        <v>Social Media Marketing Tips</v>
      </c>
      <c r="E13" s="147" t="str">
        <f>IFERROR(__xludf.DUMMYFUNCTION("""COMPUTED_VALUE"""),"Individual Contributor")</f>
        <v>Individual Contributor</v>
      </c>
      <c r="F13" s="141" t="str">
        <f>IFERROR(__xludf.DUMMYFUNCTION("""COMPUTED_VALUE"""),"Beginner")</f>
        <v>Beginner</v>
      </c>
      <c r="G13" s="143">
        <f>IFERROR(__xludf.DUMMYFUNCTION("""COMPUTED_VALUE"""),0.038287037037037036)</f>
        <v>0.03828703704</v>
      </c>
      <c r="H13" s="149" t="str">
        <f>IFERROR(__xludf.DUMMYFUNCTION("""COMPUTED_VALUE"""),"Become a Public Relations Specialist")</f>
        <v>Become a Public Relations Specialist</v>
      </c>
      <c r="I13" s="140"/>
      <c r="J13" s="140"/>
      <c r="K13" s="140"/>
      <c r="L13" s="147">
        <f>IFERROR(__xludf.DUMMYFUNCTION("""COMPUTED_VALUE"""),2876020.0)</f>
        <v>2876020</v>
      </c>
      <c r="M13" s="150" t="str">
        <f>IFERROR(__xludf.DUMMYFUNCTION("""COMPUTED_VALUE"""),"Executing on Innovation: A Process That Scales")</f>
        <v>Executing on Innovation: A Process That Scales</v>
      </c>
      <c r="N13" s="147" t="str">
        <f>IFERROR(__xludf.DUMMYFUNCTION("""COMPUTED_VALUE"""),"Senior Manager")</f>
        <v>Senior Manager</v>
      </c>
      <c r="O13" s="141" t="str">
        <f>IFERROR(__xludf.DUMMYFUNCTION("""COMPUTED_VALUE"""),"Advanced")</f>
        <v>Advanced</v>
      </c>
      <c r="P13" s="143">
        <f>IFERROR(__xludf.DUMMYFUNCTION("""COMPUTED_VALUE"""),0.03415509259259259)</f>
        <v>0.03415509259</v>
      </c>
      <c r="Q13" s="151"/>
      <c r="R13" s="140"/>
      <c r="S13" s="140"/>
    </row>
    <row r="14" ht="33.75" customHeight="1">
      <c r="A14" s="140"/>
      <c r="B14" s="140"/>
      <c r="C14" s="147">
        <f>IFERROR(__xludf.DUMMYFUNCTION("""COMPUTED_VALUE"""),2841521.0)</f>
        <v>2841521</v>
      </c>
      <c r="D14" s="150" t="str">
        <f>IFERROR(__xludf.DUMMYFUNCTION("""COMPUTED_VALUE"""),"Job Interview Tips for Marketing Managers")</f>
        <v>Job Interview Tips for Marketing Managers</v>
      </c>
      <c r="E14" s="147" t="str">
        <f>IFERROR(__xludf.DUMMYFUNCTION("""COMPUTED_VALUE"""),"Individual Contributor")</f>
        <v>Individual Contributor</v>
      </c>
      <c r="F14" s="141" t="str">
        <f>IFERROR(__xludf.DUMMYFUNCTION("""COMPUTED_VALUE"""),"Beginner")</f>
        <v>Beginner</v>
      </c>
      <c r="G14" s="143">
        <f>IFERROR(__xludf.DUMMYFUNCTION("""COMPUTED_VALUE"""),0.030659722222222224)</f>
        <v>0.03065972222</v>
      </c>
      <c r="H14" s="149" t="str">
        <f>IFERROR(__xludf.DUMMYFUNCTION("""COMPUTED_VALUE"""),"Become a Social Media Advertising Specialist")</f>
        <v>Become a Social Media Advertising Specialist</v>
      </c>
      <c r="I14" s="140"/>
      <c r="J14" s="140"/>
      <c r="K14" s="140"/>
      <c r="L14" s="147">
        <f>IFERROR(__xludf.DUMMYFUNCTION("""COMPUTED_VALUE"""),2813223.0)</f>
        <v>2813223</v>
      </c>
      <c r="M14" s="150" t="str">
        <f>IFERROR(__xludf.DUMMYFUNCTION("""COMPUTED_VALUE"""),"Leading like a Futurist")</f>
        <v>Leading like a Futurist</v>
      </c>
      <c r="N14" s="147" t="str">
        <f>IFERROR(__xludf.DUMMYFUNCTION("""COMPUTED_VALUE"""),"Senior Manager")</f>
        <v>Senior Manager</v>
      </c>
      <c r="O14" s="141" t="str">
        <f>IFERROR(__xludf.DUMMYFUNCTION("""COMPUTED_VALUE"""),"General")</f>
        <v>General</v>
      </c>
      <c r="P14" s="143">
        <f>IFERROR(__xludf.DUMMYFUNCTION("""COMPUTED_VALUE"""),0.05261574074074074)</f>
        <v>0.05261574074</v>
      </c>
      <c r="Q14" s="151"/>
      <c r="R14" s="140"/>
      <c r="S14" s="140"/>
    </row>
    <row r="15" ht="33.75" customHeight="1">
      <c r="A15" s="140"/>
      <c r="B15" s="140"/>
      <c r="C15" s="147">
        <f>IFERROR(__xludf.DUMMYFUNCTION("""COMPUTED_VALUE"""),2876205.0)</f>
        <v>2876205</v>
      </c>
      <c r="D15" s="150" t="str">
        <f>IFERROR(__xludf.DUMMYFUNCTION("""COMPUTED_VALUE"""),"Advertising on LinkedIn")</f>
        <v>Advertising on LinkedIn</v>
      </c>
      <c r="E15" s="147" t="str">
        <f>IFERROR(__xludf.DUMMYFUNCTION("""COMPUTED_VALUE"""),"Individual Contributor")</f>
        <v>Individual Contributor</v>
      </c>
      <c r="F15" s="141" t="str">
        <f>IFERROR(__xludf.DUMMYFUNCTION("""COMPUTED_VALUE"""),"Beginner")</f>
        <v>Beginner</v>
      </c>
      <c r="G15" s="143">
        <f>IFERROR(__xludf.DUMMYFUNCTION("""COMPUTED_VALUE"""),0.07128472222222222)</f>
        <v>0.07128472222</v>
      </c>
      <c r="H15" s="149" t="str">
        <f>IFERROR(__xludf.DUMMYFUNCTION("""COMPUTED_VALUE"""),"Become a Social Media Marketer")</f>
        <v>Become a Social Media Marketer</v>
      </c>
      <c r="I15" s="140"/>
      <c r="J15" s="140"/>
      <c r="K15" s="140"/>
      <c r="L15" s="147">
        <f>IFERROR(__xludf.DUMMYFUNCTION("""COMPUTED_VALUE"""),2825455.0)</f>
        <v>2825455</v>
      </c>
      <c r="M15" s="150" t="str">
        <f>IFERROR(__xludf.DUMMYFUNCTION("""COMPUTED_VALUE"""),"Balancing Innovation and Risk")</f>
        <v>Balancing Innovation and Risk</v>
      </c>
      <c r="N15" s="147" t="str">
        <f>IFERROR(__xludf.DUMMYFUNCTION("""COMPUTED_VALUE"""),"Senior Manager")</f>
        <v>Senior Manager</v>
      </c>
      <c r="O15" s="141" t="str">
        <f>IFERROR(__xludf.DUMMYFUNCTION("""COMPUTED_VALUE"""),"Intermediate")</f>
        <v>Intermediate</v>
      </c>
      <c r="P15" s="143">
        <f>IFERROR(__xludf.DUMMYFUNCTION("""COMPUTED_VALUE"""),0.01962962962962963)</f>
        <v>0.01962962963</v>
      </c>
      <c r="Q15" s="151"/>
      <c r="R15" s="140"/>
      <c r="S15" s="140"/>
    </row>
    <row r="16" ht="33.75" customHeight="1">
      <c r="A16" s="140"/>
      <c r="B16" s="140"/>
      <c r="C16" s="147">
        <f>IFERROR(__xludf.DUMMYFUNCTION("""COMPUTED_VALUE"""),2888051.0)</f>
        <v>2888051</v>
      </c>
      <c r="D16" s="150" t="str">
        <f>IFERROR(__xludf.DUMMYFUNCTION("""COMPUTED_VALUE"""),"Integrated Marketing Communication Strategies")</f>
        <v>Integrated Marketing Communication Strategies</v>
      </c>
      <c r="E16" s="147" t="str">
        <f>IFERROR(__xludf.DUMMYFUNCTION("""COMPUTED_VALUE"""),"Individual Contributor")</f>
        <v>Individual Contributor</v>
      </c>
      <c r="F16" s="141" t="str">
        <f>IFERROR(__xludf.DUMMYFUNCTION("""COMPUTED_VALUE"""),"Beginner")</f>
        <v>Beginner</v>
      </c>
      <c r="G16" s="143">
        <f>IFERROR(__xludf.DUMMYFUNCTION("""COMPUTED_VALUE"""),0.03530092592592592)</f>
        <v>0.03530092593</v>
      </c>
      <c r="H16" s="149" t="str">
        <f>IFERROR(__xludf.DUMMYFUNCTION("""COMPUTED_VALUE"""),"Become a Marketing Manager")</f>
        <v>Become a Marketing Manager</v>
      </c>
      <c r="I16" s="140"/>
      <c r="J16" s="140"/>
      <c r="K16" s="140"/>
      <c r="L16" s="147">
        <f>IFERROR(__xludf.DUMMYFUNCTION("""COMPUTED_VALUE"""),784282.0)</f>
        <v>784282</v>
      </c>
      <c r="M16" s="150" t="str">
        <f>IFERROR(__xludf.DUMMYFUNCTION("""COMPUTED_VALUE"""),"Strategic Focus for Managers")</f>
        <v>Strategic Focus for Managers</v>
      </c>
      <c r="N16" s="147" t="str">
        <f>IFERROR(__xludf.DUMMYFUNCTION("""COMPUTED_VALUE"""),"Senior Manager")</f>
        <v>Senior Manager</v>
      </c>
      <c r="O16" s="141" t="str">
        <f>IFERROR(__xludf.DUMMYFUNCTION("""COMPUTED_VALUE"""),"Intermediate")</f>
        <v>Intermediate</v>
      </c>
      <c r="P16" s="143">
        <f>IFERROR(__xludf.DUMMYFUNCTION("""COMPUTED_VALUE"""),0.02167824074074074)</f>
        <v>0.02167824074</v>
      </c>
      <c r="Q16" s="151"/>
      <c r="R16" s="140"/>
      <c r="S16" s="140"/>
    </row>
    <row r="17" ht="33.75" customHeight="1">
      <c r="A17" s="140"/>
      <c r="B17" s="140"/>
      <c r="C17" s="147">
        <f>IFERROR(__xludf.DUMMYFUNCTION("""COMPUTED_VALUE"""),2873285.0)</f>
        <v>2873285</v>
      </c>
      <c r="D17" s="150" t="str">
        <f>IFERROR(__xludf.DUMMYFUNCTION("""COMPUTED_VALUE"""),"SEO: Competitive Analysis")</f>
        <v>SEO: Competitive Analysis</v>
      </c>
      <c r="E17" s="147" t="str">
        <f>IFERROR(__xludf.DUMMYFUNCTION("""COMPUTED_VALUE"""),"Individual Contributor")</f>
        <v>Individual Contributor</v>
      </c>
      <c r="F17" s="141" t="str">
        <f>IFERROR(__xludf.DUMMYFUNCTION("""COMPUTED_VALUE"""),"Intermediate")</f>
        <v>Intermediate</v>
      </c>
      <c r="G17" s="143">
        <f>IFERROR(__xludf.DUMMYFUNCTION("""COMPUTED_VALUE"""),0.06131944444444445)</f>
        <v>0.06131944444</v>
      </c>
      <c r="H17" s="149" t="str">
        <f>IFERROR(__xludf.DUMMYFUNCTION("""COMPUTED_VALUE"""),"Develop Your Marketing Skills")</f>
        <v>Develop Your Marketing Skills</v>
      </c>
      <c r="I17" s="140"/>
      <c r="J17" s="140"/>
      <c r="K17" s="140"/>
      <c r="L17" s="147">
        <f>IFERROR(__xludf.DUMMYFUNCTION("""COMPUTED_VALUE"""),2807856.0)</f>
        <v>2807856</v>
      </c>
      <c r="M17" s="150" t="str">
        <f>IFERROR(__xludf.DUMMYFUNCTION("""COMPUTED_VALUE"""),"Unlock Your Team's Creativity")</f>
        <v>Unlock Your Team's Creativity</v>
      </c>
      <c r="N17" s="147" t="str">
        <f>IFERROR(__xludf.DUMMYFUNCTION("""COMPUTED_VALUE"""),"Manager")</f>
        <v>Manager</v>
      </c>
      <c r="O17" s="141" t="str">
        <f>IFERROR(__xludf.DUMMYFUNCTION("""COMPUTED_VALUE"""),"General")</f>
        <v>General</v>
      </c>
      <c r="P17" s="143">
        <f>IFERROR(__xludf.DUMMYFUNCTION("""COMPUTED_VALUE"""),0.02775462962962963)</f>
        <v>0.02775462963</v>
      </c>
      <c r="Q17" s="151"/>
      <c r="R17" s="140"/>
      <c r="S17" s="140"/>
    </row>
    <row r="18" ht="33.75" customHeight="1">
      <c r="A18" s="140"/>
      <c r="B18" s="140"/>
      <c r="C18" s="147">
        <f>IFERROR(__xludf.DUMMYFUNCTION("""COMPUTED_VALUE"""),2875326.0)</f>
        <v>2875326</v>
      </c>
      <c r="D18" s="150" t="str">
        <f>IFERROR(__xludf.DUMMYFUNCTION("""COMPUTED_VALUE"""),"Marketing Tools: SEO")</f>
        <v>Marketing Tools: SEO</v>
      </c>
      <c r="E18" s="147" t="str">
        <f>IFERROR(__xludf.DUMMYFUNCTION("""COMPUTED_VALUE"""),"Individual Contributor")</f>
        <v>Individual Contributor</v>
      </c>
      <c r="F18" s="141" t="str">
        <f>IFERROR(__xludf.DUMMYFUNCTION("""COMPUTED_VALUE"""),"Intermediate")</f>
        <v>Intermediate</v>
      </c>
      <c r="G18" s="143">
        <f>IFERROR(__xludf.DUMMYFUNCTION("""COMPUTED_VALUE"""),0.04087962962962963)</f>
        <v>0.04087962963</v>
      </c>
      <c r="H18" s="149" t="str">
        <f>IFERROR(__xludf.DUMMYFUNCTION("""COMPUTED_VALUE"""),"Improve your Digital Marketing Skills")</f>
        <v>Improve your Digital Marketing Skills</v>
      </c>
      <c r="I18" s="140"/>
      <c r="J18" s="140"/>
      <c r="K18" s="140"/>
      <c r="L18" s="147">
        <f>IFERROR(__xludf.DUMMYFUNCTION("""COMPUTED_VALUE"""),685022.0)</f>
        <v>685022</v>
      </c>
      <c r="M18" s="150" t="str">
        <f>IFERROR(__xludf.DUMMYFUNCTION("""COMPUTED_VALUE"""),"Using Questions to Foster Critical Thinking and Curiosity")</f>
        <v>Using Questions to Foster Critical Thinking and Curiosity</v>
      </c>
      <c r="N18" s="147" t="str">
        <f>IFERROR(__xludf.DUMMYFUNCTION("""COMPUTED_VALUE"""),"Manager")</f>
        <v>Manager</v>
      </c>
      <c r="O18" s="141" t="str">
        <f>IFERROR(__xludf.DUMMYFUNCTION("""COMPUTED_VALUE"""),"Intermediate")</f>
        <v>Intermediate</v>
      </c>
      <c r="P18" s="143">
        <f>IFERROR(__xludf.DUMMYFUNCTION("""COMPUTED_VALUE"""),0.02158564814814815)</f>
        <v>0.02158564815</v>
      </c>
      <c r="Q18" s="151"/>
      <c r="R18" s="140"/>
      <c r="S18" s="140"/>
    </row>
    <row r="19" ht="33.75" customHeight="1">
      <c r="A19" s="140"/>
      <c r="B19" s="140"/>
      <c r="C19" s="147">
        <f>IFERROR(__xludf.DUMMYFUNCTION("""COMPUTED_VALUE"""),624312.0)</f>
        <v>624312</v>
      </c>
      <c r="D19" s="150" t="str">
        <f>IFERROR(__xludf.DUMMYFUNCTION("""COMPUTED_VALUE"""),"Building an Integrated Online Marketing Plan")</f>
        <v>Building an Integrated Online Marketing Plan</v>
      </c>
      <c r="E19" s="147" t="str">
        <f>IFERROR(__xludf.DUMMYFUNCTION("""COMPUTED_VALUE"""),"General")</f>
        <v>General</v>
      </c>
      <c r="F19" s="141" t="str">
        <f>IFERROR(__xludf.DUMMYFUNCTION("""COMPUTED_VALUE"""),"Advanced")</f>
        <v>Advanced</v>
      </c>
      <c r="G19" s="143">
        <f>IFERROR(__xludf.DUMMYFUNCTION("""COMPUTED_VALUE"""),0.0965162037037037)</f>
        <v>0.0965162037</v>
      </c>
      <c r="H19" s="149" t="str">
        <f>IFERROR(__xludf.DUMMYFUNCTION("""COMPUTED_VALUE"""),"Master Digital Marketing")</f>
        <v>Master Digital Marketing</v>
      </c>
      <c r="I19" s="140"/>
      <c r="J19" s="140"/>
      <c r="K19" s="140"/>
      <c r="L19" s="147">
        <f>IFERROR(__xludf.DUMMYFUNCTION("""COMPUTED_VALUE"""),2297062.0)</f>
        <v>2297062</v>
      </c>
      <c r="M19" s="150" t="str">
        <f>IFERROR(__xludf.DUMMYFUNCTION("""COMPUTED_VALUE"""),"The Business Case for Creativity")</f>
        <v>The Business Case for Creativity</v>
      </c>
      <c r="N19" s="147" t="str">
        <f>IFERROR(__xludf.DUMMYFUNCTION("""COMPUTED_VALUE"""),"Manager")</f>
        <v>Manager</v>
      </c>
      <c r="O19" s="141" t="str">
        <f>IFERROR(__xludf.DUMMYFUNCTION("""COMPUTED_VALUE"""),"Intermediate")</f>
        <v>Intermediate</v>
      </c>
      <c r="P19" s="143">
        <f>IFERROR(__xludf.DUMMYFUNCTION("""COMPUTED_VALUE"""),0.03836805555555556)</f>
        <v>0.03836805556</v>
      </c>
      <c r="Q19" s="151"/>
      <c r="R19" s="140"/>
      <c r="S19" s="140"/>
    </row>
    <row r="20" ht="33.75" customHeight="1">
      <c r="A20" s="140"/>
      <c r="B20" s="140"/>
      <c r="C20" s="147">
        <f>IFERROR(__xludf.DUMMYFUNCTION("""COMPUTED_VALUE"""),2807866.0)</f>
        <v>2807866</v>
      </c>
      <c r="D20" s="150" t="str">
        <f>IFERROR(__xludf.DUMMYFUNCTION("""COMPUTED_VALUE"""),"Advanced SEO: Search Factors")</f>
        <v>Advanced SEO: Search Factors</v>
      </c>
      <c r="E20" s="147" t="str">
        <f>IFERROR(__xludf.DUMMYFUNCTION("""COMPUTED_VALUE"""),"General")</f>
        <v>General</v>
      </c>
      <c r="F20" s="141" t="str">
        <f>IFERROR(__xludf.DUMMYFUNCTION("""COMPUTED_VALUE"""),"Advanced")</f>
        <v>Advanced</v>
      </c>
      <c r="G20" s="143">
        <f>IFERROR(__xludf.DUMMYFUNCTION("""COMPUTED_VALUE"""),0.04978009259259259)</f>
        <v>0.04978009259</v>
      </c>
      <c r="H20" s="151"/>
      <c r="I20" s="140"/>
      <c r="J20" s="140"/>
      <c r="K20" s="140"/>
      <c r="L20" s="147">
        <f>IFERROR(__xludf.DUMMYFUNCTION("""COMPUTED_VALUE"""),2888004.0)</f>
        <v>2888004</v>
      </c>
      <c r="M20" s="150" t="str">
        <f>IFERROR(__xludf.DUMMYFUNCTION("""COMPUTED_VALUE"""),"Creative Thinking Strategies for Leaders")</f>
        <v>Creative Thinking Strategies for Leaders</v>
      </c>
      <c r="N20" s="147" t="str">
        <f>IFERROR(__xludf.DUMMYFUNCTION("""COMPUTED_VALUE"""),"Manager")</f>
        <v>Manager</v>
      </c>
      <c r="O20" s="141" t="str">
        <f>IFERROR(__xludf.DUMMYFUNCTION("""COMPUTED_VALUE"""),"Intermediate")</f>
        <v>Intermediate</v>
      </c>
      <c r="P20" s="143">
        <f>IFERROR(__xludf.DUMMYFUNCTION("""COMPUTED_VALUE"""),0.055740740740740743)</f>
        <v>0.05574074074</v>
      </c>
      <c r="Q20" s="151"/>
      <c r="R20" s="140"/>
      <c r="S20" s="140"/>
    </row>
    <row r="21" ht="33.75" customHeight="1">
      <c r="A21" s="140"/>
      <c r="B21" s="140"/>
      <c r="C21" s="147">
        <f>IFERROR(__xludf.DUMMYFUNCTION("""COMPUTED_VALUE"""),5038215.0)</f>
        <v>5038215</v>
      </c>
      <c r="D21" s="150" t="str">
        <f>IFERROR(__xludf.DUMMYFUNCTION("""COMPUTED_VALUE"""),"Advanced Product Marketing")</f>
        <v>Advanced Product Marketing</v>
      </c>
      <c r="E21" s="147" t="str">
        <f>IFERROR(__xludf.DUMMYFUNCTION("""COMPUTED_VALUE"""),"General")</f>
        <v>General</v>
      </c>
      <c r="F21" s="141" t="str">
        <f>IFERROR(__xludf.DUMMYFUNCTION("""COMPUTED_VALUE"""),"Advanced")</f>
        <v>Advanced</v>
      </c>
      <c r="G21" s="143">
        <f>IFERROR(__xludf.DUMMYFUNCTION("""COMPUTED_VALUE"""),0.028194444444444446)</f>
        <v>0.02819444444</v>
      </c>
      <c r="H21" s="151"/>
      <c r="I21" s="140"/>
      <c r="J21" s="140"/>
      <c r="K21" s="140"/>
      <c r="L21" s="147">
        <f>IFERROR(__xludf.DUMMYFUNCTION("""COMPUTED_VALUE"""),2299017.0)</f>
        <v>2299017</v>
      </c>
      <c r="M21" s="150" t="str">
        <f>IFERROR(__xludf.DUMMYFUNCTION("""COMPUTED_VALUE"""),"Developing Your Creativity as a Leader")</f>
        <v>Developing Your Creativity as a Leader</v>
      </c>
      <c r="N21" s="147" t="str">
        <f>IFERROR(__xludf.DUMMYFUNCTION("""COMPUTED_VALUE"""),"General")</f>
        <v>General</v>
      </c>
      <c r="O21" s="141" t="str">
        <f>IFERROR(__xludf.DUMMYFUNCTION("""COMPUTED_VALUE"""),"Advanced")</f>
        <v>Advanced</v>
      </c>
      <c r="P21" s="143">
        <f>IFERROR(__xludf.DUMMYFUNCTION("""COMPUTED_VALUE"""),0.04114583333333333)</f>
        <v>0.04114583333</v>
      </c>
      <c r="Q21" s="151"/>
      <c r="R21" s="140"/>
      <c r="S21" s="140"/>
    </row>
    <row r="22" ht="33.75" customHeight="1">
      <c r="A22" s="140"/>
      <c r="B22" s="140"/>
      <c r="C22" s="147">
        <f>IFERROR(__xludf.DUMMYFUNCTION("""COMPUTED_VALUE"""),2814043.0)</f>
        <v>2814043</v>
      </c>
      <c r="D22" s="150" t="str">
        <f>IFERROR(__xludf.DUMMYFUNCTION("""COMPUTED_VALUE"""),"Lead Generation: Social Media")</f>
        <v>Lead Generation: Social Media</v>
      </c>
      <c r="E22" s="147" t="str">
        <f>IFERROR(__xludf.DUMMYFUNCTION("""COMPUTED_VALUE"""),"General")</f>
        <v>General</v>
      </c>
      <c r="F22" s="141" t="str">
        <f>IFERROR(__xludf.DUMMYFUNCTION("""COMPUTED_VALUE"""),"Advanced")</f>
        <v>Advanced</v>
      </c>
      <c r="G22" s="143">
        <f>IFERROR(__xludf.DUMMYFUNCTION("""COMPUTED_VALUE"""),0.019016203703703705)</f>
        <v>0.0190162037</v>
      </c>
      <c r="H22" s="151"/>
      <c r="I22" s="140"/>
      <c r="J22" s="140"/>
      <c r="K22" s="140"/>
      <c r="L22" s="147">
        <f>IFERROR(__xludf.DUMMYFUNCTION("""COMPUTED_VALUE"""),548712.0)</f>
        <v>548712</v>
      </c>
      <c r="M22" s="150" t="str">
        <f>IFERROR(__xludf.DUMMYFUNCTION("""COMPUTED_VALUE"""),"Thinking Creatively")</f>
        <v>Thinking Creatively</v>
      </c>
      <c r="N22" s="147" t="str">
        <f>IFERROR(__xludf.DUMMYFUNCTION("""COMPUTED_VALUE"""),"General")</f>
        <v>General</v>
      </c>
      <c r="O22" s="141" t="str">
        <f>IFERROR(__xludf.DUMMYFUNCTION("""COMPUTED_VALUE"""),"Beginner")</f>
        <v>Beginner</v>
      </c>
      <c r="P22" s="143">
        <f>IFERROR(__xludf.DUMMYFUNCTION("""COMPUTED_VALUE"""),0.029108796296296296)</f>
        <v>0.0291087963</v>
      </c>
      <c r="Q22" s="151"/>
      <c r="R22" s="140"/>
      <c r="S22" s="140"/>
    </row>
    <row r="23" ht="33.75" customHeight="1">
      <c r="A23" s="140"/>
      <c r="B23" s="140"/>
      <c r="C23" s="147">
        <f>IFERROR(__xludf.DUMMYFUNCTION("""COMPUTED_VALUE"""),2817028.0)</f>
        <v>2817028</v>
      </c>
      <c r="D23" s="150" t="str">
        <f>IFERROR(__xludf.DUMMYFUNCTION("""COMPUTED_VALUE"""),"Advanced Google Analytics")</f>
        <v>Advanced Google Analytics</v>
      </c>
      <c r="E23" s="147" t="str">
        <f>IFERROR(__xludf.DUMMYFUNCTION("""COMPUTED_VALUE"""),"General")</f>
        <v>General</v>
      </c>
      <c r="F23" s="141" t="str">
        <f>IFERROR(__xludf.DUMMYFUNCTION("""COMPUTED_VALUE"""),"Advanced")</f>
        <v>Advanced</v>
      </c>
      <c r="G23" s="143">
        <f>IFERROR(__xludf.DUMMYFUNCTION("""COMPUTED_VALUE"""),0.062060185185185184)</f>
        <v>0.06206018519</v>
      </c>
      <c r="H23" s="151"/>
      <c r="I23" s="140"/>
      <c r="J23" s="140"/>
      <c r="K23" s="140"/>
      <c r="L23" s="147">
        <f>IFERROR(__xludf.DUMMYFUNCTION("""COMPUTED_VALUE"""),178137.0)</f>
        <v>178137</v>
      </c>
      <c r="M23" s="150" t="str">
        <f>IFERROR(__xludf.DUMMYFUNCTION("""COMPUTED_VALUE"""),"Learning Brainstorming")</f>
        <v>Learning Brainstorming</v>
      </c>
      <c r="N23" s="147" t="str">
        <f>IFERROR(__xludf.DUMMYFUNCTION("""COMPUTED_VALUE"""),"General")</f>
        <v>General</v>
      </c>
      <c r="O23" s="141" t="str">
        <f>IFERROR(__xludf.DUMMYFUNCTION("""COMPUTED_VALUE"""),"Beginner")</f>
        <v>Beginner</v>
      </c>
      <c r="P23" s="143">
        <f>IFERROR(__xludf.DUMMYFUNCTION("""COMPUTED_VALUE"""),0.029780092592592594)</f>
        <v>0.02978009259</v>
      </c>
      <c r="Q23" s="151"/>
      <c r="R23" s="140"/>
      <c r="S23" s="140"/>
    </row>
    <row r="24" ht="33.75" customHeight="1">
      <c r="A24" s="140"/>
      <c r="B24" s="140"/>
      <c r="C24" s="147">
        <f>IFERROR(__xludf.DUMMYFUNCTION("""COMPUTED_VALUE"""),2823074.0)</f>
        <v>2823074</v>
      </c>
      <c r="D24" s="150" t="str">
        <f>IFERROR(__xludf.DUMMYFUNCTION("""COMPUTED_VALUE"""),"Advertising on Facebook: Advanced")</f>
        <v>Advertising on Facebook: Advanced</v>
      </c>
      <c r="E24" s="147" t="str">
        <f>IFERROR(__xludf.DUMMYFUNCTION("""COMPUTED_VALUE"""),"General")</f>
        <v>General</v>
      </c>
      <c r="F24" s="141" t="str">
        <f>IFERROR(__xludf.DUMMYFUNCTION("""COMPUTED_VALUE"""),"Advanced")</f>
        <v>Advanced</v>
      </c>
      <c r="G24" s="143">
        <f>IFERROR(__xludf.DUMMYFUNCTION("""COMPUTED_VALUE"""),0.05369212962962963)</f>
        <v>0.05369212963</v>
      </c>
      <c r="H24" s="151"/>
      <c r="I24" s="140"/>
      <c r="J24" s="140"/>
      <c r="K24" s="140"/>
      <c r="L24" s="147">
        <f>IFERROR(__xludf.DUMMYFUNCTION("""COMPUTED_VALUE"""),2804654.0)</f>
        <v>2804654</v>
      </c>
      <c r="M24" s="150" t="str">
        <f>IFERROR(__xludf.DUMMYFUNCTION("""COMPUTED_VALUE"""),"Take a More Creative Approach to Problem-Solving")</f>
        <v>Take a More Creative Approach to Problem-Solving</v>
      </c>
      <c r="N24" s="147" t="str">
        <f>IFERROR(__xludf.DUMMYFUNCTION("""COMPUTED_VALUE"""),"General")</f>
        <v>General</v>
      </c>
      <c r="O24" s="141" t="str">
        <f>IFERROR(__xludf.DUMMYFUNCTION("""COMPUTED_VALUE"""),"Beginner")</f>
        <v>Beginner</v>
      </c>
      <c r="P24" s="143">
        <f>IFERROR(__xludf.DUMMYFUNCTION("""COMPUTED_VALUE"""),0.018773148148148146)</f>
        <v>0.01877314815</v>
      </c>
      <c r="Q24" s="151"/>
      <c r="R24" s="140"/>
      <c r="S24" s="140"/>
    </row>
    <row r="25" ht="33.75" customHeight="1">
      <c r="A25" s="140"/>
      <c r="B25" s="140"/>
      <c r="C25" s="147">
        <f>IFERROR(__xludf.DUMMYFUNCTION("""COMPUTED_VALUE"""),2823517.0)</f>
        <v>2823517</v>
      </c>
      <c r="D25" s="150" t="str">
        <f>IFERROR(__xludf.DUMMYFUNCTION("""COMPUTED_VALUE"""),"Advanced Content Marketing")</f>
        <v>Advanced Content Marketing</v>
      </c>
      <c r="E25" s="147" t="str">
        <f>IFERROR(__xludf.DUMMYFUNCTION("""COMPUTED_VALUE"""),"General")</f>
        <v>General</v>
      </c>
      <c r="F25" s="141" t="str">
        <f>IFERROR(__xludf.DUMMYFUNCTION("""COMPUTED_VALUE"""),"Advanced")</f>
        <v>Advanced</v>
      </c>
      <c r="G25" s="143">
        <f>IFERROR(__xludf.DUMMYFUNCTION("""COMPUTED_VALUE"""),0.0627199074074074)</f>
        <v>0.06271990741</v>
      </c>
      <c r="H25" s="151"/>
      <c r="I25" s="140"/>
      <c r="J25" s="140"/>
      <c r="K25" s="140"/>
      <c r="L25" s="147">
        <f>IFERROR(__xludf.DUMMYFUNCTION("""COMPUTED_VALUE"""),178138.0)</f>
        <v>178138</v>
      </c>
      <c r="M25" s="150" t="str">
        <f>IFERROR(__xludf.DUMMYFUNCTION("""COMPUTED_VALUE"""),"The Five-Step Creative Process")</f>
        <v>The Five-Step Creative Process</v>
      </c>
      <c r="N25" s="147" t="str">
        <f>IFERROR(__xludf.DUMMYFUNCTION("""COMPUTED_VALUE"""),"General")</f>
        <v>General</v>
      </c>
      <c r="O25" s="141" t="str">
        <f>IFERROR(__xludf.DUMMYFUNCTION("""COMPUTED_VALUE"""),"Beginner")</f>
        <v>Beginner</v>
      </c>
      <c r="P25" s="143">
        <f>IFERROR(__xludf.DUMMYFUNCTION("""COMPUTED_VALUE"""),0.013680555555555555)</f>
        <v>0.01368055556</v>
      </c>
      <c r="Q25" s="151"/>
      <c r="R25" s="140"/>
      <c r="S25" s="140"/>
    </row>
    <row r="26" ht="33.75" customHeight="1">
      <c r="A26" s="140"/>
      <c r="B26" s="140"/>
      <c r="C26" s="147">
        <f>IFERROR(__xludf.DUMMYFUNCTION("""COMPUTED_VALUE"""),2824363.0)</f>
        <v>2824363</v>
      </c>
      <c r="D26" s="150" t="str">
        <f>IFERROR(__xludf.DUMMYFUNCTION("""COMPUTED_VALUE"""),"Advanced Google Ads")</f>
        <v>Advanced Google Ads</v>
      </c>
      <c r="E26" s="147" t="str">
        <f>IFERROR(__xludf.DUMMYFUNCTION("""COMPUTED_VALUE"""),"General")</f>
        <v>General</v>
      </c>
      <c r="F26" s="141" t="str">
        <f>IFERROR(__xludf.DUMMYFUNCTION("""COMPUTED_VALUE"""),"Advanced")</f>
        <v>Advanced</v>
      </c>
      <c r="G26" s="143">
        <f>IFERROR(__xludf.DUMMYFUNCTION("""COMPUTED_VALUE"""),0.05032407407407408)</f>
        <v>0.05032407407</v>
      </c>
      <c r="H26" s="151"/>
      <c r="I26" s="140"/>
      <c r="J26" s="140"/>
      <c r="K26" s="140"/>
      <c r="L26" s="147">
        <f>IFERROR(__xludf.DUMMYFUNCTION("""COMPUTED_VALUE"""),2213242.0)</f>
        <v>2213242</v>
      </c>
      <c r="M26" s="150" t="str">
        <f>IFERROR(__xludf.DUMMYFUNCTION("""COMPUTED_VALUE"""),"Building a Creative Online Community")</f>
        <v>Building a Creative Online Community</v>
      </c>
      <c r="N26" s="147" t="str">
        <f>IFERROR(__xludf.DUMMYFUNCTION("""COMPUTED_VALUE"""),"General")</f>
        <v>General</v>
      </c>
      <c r="O26" s="141" t="str">
        <f>IFERROR(__xludf.DUMMYFUNCTION("""COMPUTED_VALUE"""),"Beginner")</f>
        <v>Beginner</v>
      </c>
      <c r="P26" s="143">
        <f>IFERROR(__xludf.DUMMYFUNCTION("""COMPUTED_VALUE"""),0.029652777777777778)</f>
        <v>0.02965277778</v>
      </c>
      <c r="Q26" s="151"/>
      <c r="R26" s="140"/>
      <c r="S26" s="140"/>
    </row>
    <row r="27" ht="33.75" customHeight="1">
      <c r="A27" s="140"/>
      <c r="B27" s="140"/>
      <c r="C27" s="147">
        <f>IFERROR(__xludf.DUMMYFUNCTION("""COMPUTED_VALUE"""),2882047.0)</f>
        <v>2882047</v>
      </c>
      <c r="D27" s="150" t="str">
        <f>IFERROR(__xludf.DUMMYFUNCTION("""COMPUTED_VALUE"""),"Advanced Facebook Advertising")</f>
        <v>Advanced Facebook Advertising</v>
      </c>
      <c r="E27" s="147" t="str">
        <f>IFERROR(__xludf.DUMMYFUNCTION("""COMPUTED_VALUE"""),"General")</f>
        <v>General</v>
      </c>
      <c r="F27" s="141" t="str">
        <f>IFERROR(__xludf.DUMMYFUNCTION("""COMPUTED_VALUE"""),"Advanced")</f>
        <v>Advanced</v>
      </c>
      <c r="G27" s="143">
        <f>IFERROR(__xludf.DUMMYFUNCTION("""COMPUTED_VALUE"""),0.06613425925925925)</f>
        <v>0.06613425926</v>
      </c>
      <c r="H27" s="151"/>
      <c r="I27" s="140"/>
      <c r="J27" s="140"/>
      <c r="K27" s="140"/>
      <c r="L27" s="147">
        <f>IFERROR(__xludf.DUMMYFUNCTION("""COMPUTED_VALUE"""),2822032.0)</f>
        <v>2822032</v>
      </c>
      <c r="M27" s="150" t="str">
        <f>IFERROR(__xludf.DUMMYFUNCTION("""COMPUTED_VALUE"""),"Icebreakers for Teams, Meetings, and Groups")</f>
        <v>Icebreakers for Teams, Meetings, and Groups</v>
      </c>
      <c r="N27" s="147" t="str">
        <f>IFERROR(__xludf.DUMMYFUNCTION("""COMPUTED_VALUE"""),"General")</f>
        <v>General</v>
      </c>
      <c r="O27" s="141" t="str">
        <f>IFERROR(__xludf.DUMMYFUNCTION("""COMPUTED_VALUE"""),"Beginner")</f>
        <v>Beginner</v>
      </c>
      <c r="P27" s="143">
        <f>IFERROR(__xludf.DUMMYFUNCTION("""COMPUTED_VALUE"""),0.024155092592592593)</f>
        <v>0.02415509259</v>
      </c>
      <c r="Q27" s="151"/>
      <c r="R27" s="140"/>
      <c r="S27" s="140"/>
    </row>
    <row r="28" ht="33.75" customHeight="1">
      <c r="A28" s="140"/>
      <c r="B28" s="140"/>
      <c r="C28" s="147">
        <f>IFERROR(__xludf.DUMMYFUNCTION("""COMPUTED_VALUE"""),737794.0)</f>
        <v>737794</v>
      </c>
      <c r="D28" s="150" t="str">
        <f>IFERROR(__xludf.DUMMYFUNCTION("""COMPUTED_VALUE"""),"Digital Marketing Trends")</f>
        <v>Digital Marketing Trends</v>
      </c>
      <c r="E28" s="147" t="str">
        <f>IFERROR(__xludf.DUMMYFUNCTION("""COMPUTED_VALUE"""),"General")</f>
        <v>General</v>
      </c>
      <c r="F28" s="141" t="str">
        <f>IFERROR(__xludf.DUMMYFUNCTION("""COMPUTED_VALUE"""),"Beginner")</f>
        <v>Beginner</v>
      </c>
      <c r="G28" s="143">
        <f>IFERROR(__xludf.DUMMYFUNCTION("""COMPUTED_VALUE"""),0.10739583333333333)</f>
        <v>0.1073958333</v>
      </c>
      <c r="H28" s="151"/>
      <c r="I28" s="140"/>
      <c r="J28" s="140"/>
      <c r="K28" s="140"/>
      <c r="L28" s="147">
        <f>IFERROR(__xludf.DUMMYFUNCTION("""COMPUTED_VALUE"""),2823256.0)</f>
        <v>2823256</v>
      </c>
      <c r="M28" s="150" t="str">
        <f>IFERROR(__xludf.DUMMYFUNCTION("""COMPUTED_VALUE"""),"How Getting Curious Helps You Achieve Everything")</f>
        <v>How Getting Curious Helps You Achieve Everything</v>
      </c>
      <c r="N28" s="147" t="str">
        <f>IFERROR(__xludf.DUMMYFUNCTION("""COMPUTED_VALUE"""),"General")</f>
        <v>General</v>
      </c>
      <c r="O28" s="141" t="str">
        <f>IFERROR(__xludf.DUMMYFUNCTION("""COMPUTED_VALUE"""),"Beginner")</f>
        <v>Beginner</v>
      </c>
      <c r="P28" s="143">
        <f>IFERROR(__xludf.DUMMYFUNCTION("""COMPUTED_VALUE"""),0.015844907407407408)</f>
        <v>0.01584490741</v>
      </c>
      <c r="Q28" s="151"/>
      <c r="R28" s="140"/>
      <c r="S28" s="140"/>
    </row>
    <row r="29" ht="33.75" customHeight="1">
      <c r="A29" s="140"/>
      <c r="B29" s="140"/>
      <c r="C29" s="147">
        <f>IFERROR(__xludf.DUMMYFUNCTION("""COMPUTED_VALUE"""),5010662.0)</f>
        <v>5010662</v>
      </c>
      <c r="D29" s="150" t="str">
        <f>IFERROR(__xludf.DUMMYFUNCTION("""COMPUTED_VALUE"""),"Growth Hacking Foundations")</f>
        <v>Growth Hacking Foundations</v>
      </c>
      <c r="E29" s="147" t="str">
        <f>IFERROR(__xludf.DUMMYFUNCTION("""COMPUTED_VALUE"""),"General")</f>
        <v>General</v>
      </c>
      <c r="F29" s="141" t="str">
        <f>IFERROR(__xludf.DUMMYFUNCTION("""COMPUTED_VALUE"""),"Beginner")</f>
        <v>Beginner</v>
      </c>
      <c r="G29" s="143">
        <f>IFERROR(__xludf.DUMMYFUNCTION("""COMPUTED_VALUE"""),0.06704861111111111)</f>
        <v>0.06704861111</v>
      </c>
      <c r="H29" s="151"/>
      <c r="I29" s="140"/>
      <c r="J29" s="140"/>
      <c r="K29" s="140"/>
      <c r="L29" s="147">
        <f>IFERROR(__xludf.DUMMYFUNCTION("""COMPUTED_VALUE"""),2426604.0)</f>
        <v>2426604</v>
      </c>
      <c r="M29" s="150" t="str">
        <f>IFERROR(__xludf.DUMMYFUNCTION("""COMPUTED_VALUE"""),"The 4 Lenses of Innovation (getAbstract Summary)")</f>
        <v>The 4 Lenses of Innovation (getAbstract Summary)</v>
      </c>
      <c r="N29" s="147" t="str">
        <f>IFERROR(__xludf.DUMMYFUNCTION("""COMPUTED_VALUE"""),"General")</f>
        <v>General</v>
      </c>
      <c r="O29" s="141" t="str">
        <f>IFERROR(__xludf.DUMMYFUNCTION("""COMPUTED_VALUE"""),"Beginner")</f>
        <v>Beginner</v>
      </c>
      <c r="P29" s="143">
        <f>IFERROR(__xludf.DUMMYFUNCTION("""COMPUTED_VALUE"""),0.00494212962962963)</f>
        <v>0.00494212963</v>
      </c>
      <c r="Q29" s="151"/>
      <c r="R29" s="140"/>
      <c r="S29" s="140"/>
    </row>
    <row r="30" ht="33.75" customHeight="1">
      <c r="A30" s="140"/>
      <c r="B30" s="140"/>
      <c r="C30" s="147">
        <f>IFERROR(__xludf.DUMMYFUNCTION("""COMPUTED_VALUE"""),601813.0)</f>
        <v>601813</v>
      </c>
      <c r="D30" s="150" t="str">
        <f>IFERROR(__xludf.DUMMYFUNCTION("""COMPUTED_VALUE"""),"Lifecycle Marketing Foundations")</f>
        <v>Lifecycle Marketing Foundations</v>
      </c>
      <c r="E30" s="147" t="str">
        <f>IFERROR(__xludf.DUMMYFUNCTION("""COMPUTED_VALUE"""),"General")</f>
        <v>General</v>
      </c>
      <c r="F30" s="141" t="str">
        <f>IFERROR(__xludf.DUMMYFUNCTION("""COMPUTED_VALUE"""),"Beginner")</f>
        <v>Beginner</v>
      </c>
      <c r="G30" s="143">
        <f>IFERROR(__xludf.DUMMYFUNCTION("""COMPUTED_VALUE"""),0.03960648148148148)</f>
        <v>0.03960648148</v>
      </c>
      <c r="H30" s="151"/>
      <c r="I30" s="140"/>
      <c r="J30" s="140"/>
      <c r="K30" s="140"/>
      <c r="L30" s="147">
        <f>IFERROR(__xludf.DUMMYFUNCTION("""COMPUTED_VALUE"""),2426261.0)</f>
        <v>2426261</v>
      </c>
      <c r="M30" s="150" t="str">
        <f>IFERROR(__xludf.DUMMYFUNCTION("""COMPUTED_VALUE"""),"Four Simple Strategies to Boost Creativity and Productivity")</f>
        <v>Four Simple Strategies to Boost Creativity and Productivity</v>
      </c>
      <c r="N30" s="147" t="str">
        <f>IFERROR(__xludf.DUMMYFUNCTION("""COMPUTED_VALUE"""),"General")</f>
        <v>General</v>
      </c>
      <c r="O30" s="141" t="str">
        <f>IFERROR(__xludf.DUMMYFUNCTION("""COMPUTED_VALUE"""),"Beginner")</f>
        <v>Beginner</v>
      </c>
      <c r="P30" s="143">
        <f>IFERROR(__xludf.DUMMYFUNCTION("""COMPUTED_VALUE"""),0.005810185185185186)</f>
        <v>0.005810185185</v>
      </c>
      <c r="Q30" s="151"/>
      <c r="R30" s="140"/>
      <c r="S30" s="140"/>
    </row>
    <row r="31" ht="33.75" customHeight="1">
      <c r="A31" s="140"/>
      <c r="B31" s="140"/>
      <c r="C31" s="147">
        <f>IFERROR(__xludf.DUMMYFUNCTION("""COMPUTED_VALUE"""),2808539.0)</f>
        <v>2808539</v>
      </c>
      <c r="D31" s="150" t="str">
        <f>IFERROR(__xludf.DUMMYFUNCTION("""COMPUTED_VALUE"""),"Marketing Your Side Hustle")</f>
        <v>Marketing Your Side Hustle</v>
      </c>
      <c r="E31" s="147" t="str">
        <f>IFERROR(__xludf.DUMMYFUNCTION("""COMPUTED_VALUE"""),"General")</f>
        <v>General</v>
      </c>
      <c r="F31" s="141" t="str">
        <f>IFERROR(__xludf.DUMMYFUNCTION("""COMPUTED_VALUE"""),"Beginner")</f>
        <v>Beginner</v>
      </c>
      <c r="G31" s="143">
        <f>IFERROR(__xludf.DUMMYFUNCTION("""COMPUTED_VALUE"""),0.048449074074074075)</f>
        <v>0.04844907407</v>
      </c>
      <c r="H31" s="151"/>
      <c r="I31" s="140"/>
      <c r="J31" s="140"/>
      <c r="K31" s="140"/>
      <c r="L31" s="147">
        <f>IFERROR(__xludf.DUMMYFUNCTION("""COMPUTED_VALUE"""),2833086.0)</f>
        <v>2833086</v>
      </c>
      <c r="M31" s="150" t="str">
        <f>IFERROR(__xludf.DUMMYFUNCTION("""COMPUTED_VALUE"""),"Business Innovation Foundations")</f>
        <v>Business Innovation Foundations</v>
      </c>
      <c r="N31" s="147" t="str">
        <f>IFERROR(__xludf.DUMMYFUNCTION("""COMPUTED_VALUE"""),"General")</f>
        <v>General</v>
      </c>
      <c r="O31" s="141" t="str">
        <f>IFERROR(__xludf.DUMMYFUNCTION("""COMPUTED_VALUE"""),"Beginner")</f>
        <v>Beginner</v>
      </c>
      <c r="P31" s="143">
        <f>IFERROR(__xludf.DUMMYFUNCTION("""COMPUTED_VALUE"""),0.03378472222222222)</f>
        <v>0.03378472222</v>
      </c>
      <c r="Q31" s="151"/>
      <c r="R31" s="140"/>
      <c r="S31" s="140"/>
    </row>
    <row r="32" ht="33.75" customHeight="1">
      <c r="A32" s="140"/>
      <c r="B32" s="140"/>
      <c r="C32" s="147">
        <f>IFERROR(__xludf.DUMMYFUNCTION("""COMPUTED_VALUE"""),737795.0)</f>
        <v>737795</v>
      </c>
      <c r="D32" s="150" t="str">
        <f>IFERROR(__xludf.DUMMYFUNCTION("""COMPUTED_VALUE"""),"Marketing Tips")</f>
        <v>Marketing Tips</v>
      </c>
      <c r="E32" s="147" t="str">
        <f>IFERROR(__xludf.DUMMYFUNCTION("""COMPUTED_VALUE"""),"General")</f>
        <v>General</v>
      </c>
      <c r="F32" s="141" t="str">
        <f>IFERROR(__xludf.DUMMYFUNCTION("""COMPUTED_VALUE"""),"Beginner")</f>
        <v>Beginner</v>
      </c>
      <c r="G32" s="143">
        <f>IFERROR(__xludf.DUMMYFUNCTION("""COMPUTED_VALUE"""),0.10741898148148148)</f>
        <v>0.1074189815</v>
      </c>
      <c r="H32" s="151"/>
      <c r="I32" s="140"/>
      <c r="J32" s="140"/>
      <c r="K32" s="140"/>
      <c r="L32" s="147">
        <f>IFERROR(__xludf.DUMMYFUNCTION("""COMPUTED_VALUE"""),2833044.0)</f>
        <v>2833044</v>
      </c>
      <c r="M32" s="150" t="str">
        <f>IFERROR(__xludf.DUMMYFUNCTION("""COMPUTED_VALUE"""),"Introduction to Responsible AI Algorithm Design")</f>
        <v>Introduction to Responsible AI Algorithm Design</v>
      </c>
      <c r="N32" s="147" t="str">
        <f>IFERROR(__xludf.DUMMYFUNCTION("""COMPUTED_VALUE"""),"General")</f>
        <v>General</v>
      </c>
      <c r="O32" s="141" t="str">
        <f>IFERROR(__xludf.DUMMYFUNCTION("""COMPUTED_VALUE"""),"Beginner + Intermediate")</f>
        <v>Beginner + Intermediate</v>
      </c>
      <c r="P32" s="143">
        <f>IFERROR(__xludf.DUMMYFUNCTION("""COMPUTED_VALUE"""),0.026956018518518518)</f>
        <v>0.02695601852</v>
      </c>
      <c r="Q32" s="151"/>
      <c r="R32" s="140"/>
      <c r="S32" s="140"/>
    </row>
    <row r="33" ht="33.75" customHeight="1">
      <c r="A33" s="140"/>
      <c r="B33" s="140"/>
      <c r="C33" s="147">
        <f>IFERROR(__xludf.DUMMYFUNCTION("""COMPUTED_VALUE"""),672872.0)</f>
        <v>672872</v>
      </c>
      <c r="D33" s="150" t="str">
        <f>IFERROR(__xludf.DUMMYFUNCTION("""COMPUTED_VALUE"""),"Marketing to Humans")</f>
        <v>Marketing to Humans</v>
      </c>
      <c r="E33" s="147" t="str">
        <f>IFERROR(__xludf.DUMMYFUNCTION("""COMPUTED_VALUE"""),"General")</f>
        <v>General</v>
      </c>
      <c r="F33" s="141" t="str">
        <f>IFERROR(__xludf.DUMMYFUNCTION("""COMPUTED_VALUE"""),"Beginner")</f>
        <v>Beginner</v>
      </c>
      <c r="G33" s="143">
        <f>IFERROR(__xludf.DUMMYFUNCTION("""COMPUTED_VALUE"""),0.019247685185185184)</f>
        <v>0.01924768519</v>
      </c>
      <c r="H33" s="151"/>
      <c r="I33" s="140"/>
      <c r="J33" s="140"/>
      <c r="K33" s="140"/>
      <c r="L33" s="147">
        <f>IFERROR(__xludf.DUMMYFUNCTION("""COMPUTED_VALUE"""),2833091.0)</f>
        <v>2833091</v>
      </c>
      <c r="M33" s="150" t="str">
        <f>IFERROR(__xludf.DUMMYFUNCTION("""COMPUTED_VALUE"""),"How Blockchains Will Change Business")</f>
        <v>How Blockchains Will Change Business</v>
      </c>
      <c r="N33" s="147" t="str">
        <f>IFERROR(__xludf.DUMMYFUNCTION("""COMPUTED_VALUE"""),"General")</f>
        <v>General</v>
      </c>
      <c r="O33" s="141" t="str">
        <f>IFERROR(__xludf.DUMMYFUNCTION("""COMPUTED_VALUE"""),"Beginner + Intermediate")</f>
        <v>Beginner + Intermediate</v>
      </c>
      <c r="P33" s="143">
        <f>IFERROR(__xludf.DUMMYFUNCTION("""COMPUTED_VALUE"""),0.044641203703703704)</f>
        <v>0.0446412037</v>
      </c>
      <c r="Q33" s="151"/>
      <c r="R33" s="140"/>
      <c r="S33" s="140"/>
    </row>
    <row r="34" ht="33.75" customHeight="1">
      <c r="A34" s="140"/>
      <c r="B34" s="140"/>
      <c r="C34" s="147">
        <f>IFERROR(__xludf.DUMMYFUNCTION("""COMPUTED_VALUE"""),2211320.0)</f>
        <v>2211320</v>
      </c>
      <c r="D34" s="150" t="str">
        <f>IFERROR(__xludf.DUMMYFUNCTION("""COMPUTED_VALUE"""),"Marketing on LinkedIn: The Sophisticated Marketer's Guide")</f>
        <v>Marketing on LinkedIn: The Sophisticated Marketer's Guide</v>
      </c>
      <c r="E34" s="147" t="str">
        <f>IFERROR(__xludf.DUMMYFUNCTION("""COMPUTED_VALUE"""),"General")</f>
        <v>General</v>
      </c>
      <c r="F34" s="141" t="str">
        <f>IFERROR(__xludf.DUMMYFUNCTION("""COMPUTED_VALUE"""),"Beginner")</f>
        <v>Beginner</v>
      </c>
      <c r="G34" s="143">
        <f>IFERROR(__xludf.DUMMYFUNCTION("""COMPUTED_VALUE"""),0.03725694444444445)</f>
        <v>0.03725694444</v>
      </c>
      <c r="H34" s="151"/>
      <c r="I34" s="140"/>
      <c r="J34" s="140"/>
      <c r="K34" s="140"/>
      <c r="L34" s="147">
        <f>IFERROR(__xludf.DUMMYFUNCTION("""COMPUTED_VALUE"""),2840016.0)</f>
        <v>2840016</v>
      </c>
      <c r="M34" s="150" t="str">
        <f>IFERROR(__xludf.DUMMYFUNCTION("""COMPUTED_VALUE"""),"Design Thinking: Implementing the Process")</f>
        <v>Design Thinking: Implementing the Process</v>
      </c>
      <c r="N34" s="147" t="str">
        <f>IFERROR(__xludf.DUMMYFUNCTION("""COMPUTED_VALUE"""),"General")</f>
        <v>General</v>
      </c>
      <c r="O34" s="141" t="str">
        <f>IFERROR(__xludf.DUMMYFUNCTION("""COMPUTED_VALUE"""),"Beginner + Intermediate")</f>
        <v>Beginner + Intermediate</v>
      </c>
      <c r="P34" s="143">
        <f>IFERROR(__xludf.DUMMYFUNCTION("""COMPUTED_VALUE"""),0.03221064814814815)</f>
        <v>0.03221064815</v>
      </c>
      <c r="Q34" s="151"/>
      <c r="R34" s="140"/>
      <c r="S34" s="140"/>
    </row>
    <row r="35" ht="33.75" customHeight="1">
      <c r="A35" s="140"/>
      <c r="B35" s="140"/>
      <c r="C35" s="147">
        <f>IFERROR(__xludf.DUMMYFUNCTION("""COMPUTED_VALUE"""),2213242.0)</f>
        <v>2213242</v>
      </c>
      <c r="D35" s="150" t="str">
        <f>IFERROR(__xludf.DUMMYFUNCTION("""COMPUTED_VALUE"""),"Building a Creative Online Community")</f>
        <v>Building a Creative Online Community</v>
      </c>
      <c r="E35" s="147" t="str">
        <f>IFERROR(__xludf.DUMMYFUNCTION("""COMPUTED_VALUE"""),"General")</f>
        <v>General</v>
      </c>
      <c r="F35" s="141" t="str">
        <f>IFERROR(__xludf.DUMMYFUNCTION("""COMPUTED_VALUE"""),"Beginner")</f>
        <v>Beginner</v>
      </c>
      <c r="G35" s="143">
        <f>IFERROR(__xludf.DUMMYFUNCTION("""COMPUTED_VALUE"""),0.029652777777777778)</f>
        <v>0.02965277778</v>
      </c>
      <c r="H35" s="151"/>
      <c r="I35" s="140"/>
      <c r="J35" s="140"/>
      <c r="K35" s="140"/>
      <c r="L35" s="147">
        <f>IFERROR(__xludf.DUMMYFUNCTION("""COMPUTED_VALUE"""),2824376.0)</f>
        <v>2824376</v>
      </c>
      <c r="M35" s="150" t="str">
        <f>IFERROR(__xludf.DUMMYFUNCTION("""COMPUTED_VALUE"""),"Charles Adler: A Story of Kickstarting an Idea")</f>
        <v>Charles Adler: A Story of Kickstarting an Idea</v>
      </c>
      <c r="N35" s="147" t="str">
        <f>IFERROR(__xludf.DUMMYFUNCTION("""COMPUTED_VALUE"""),"General")</f>
        <v>General</v>
      </c>
      <c r="O35" s="141" t="str">
        <f>IFERROR(__xludf.DUMMYFUNCTION("""COMPUTED_VALUE"""),"Beginner + Intermediate")</f>
        <v>Beginner + Intermediate</v>
      </c>
      <c r="P35" s="143">
        <f>IFERROR(__xludf.DUMMYFUNCTION("""COMPUTED_VALUE"""),0.020775462962962964)</f>
        <v>0.02077546296</v>
      </c>
      <c r="Q35" s="151"/>
      <c r="R35" s="140"/>
      <c r="S35" s="140"/>
    </row>
    <row r="36" ht="33.75" customHeight="1">
      <c r="A36" s="140"/>
      <c r="B36" s="140"/>
      <c r="C36" s="147">
        <f>IFERROR(__xludf.DUMMYFUNCTION("""COMPUTED_VALUE"""),2810407.0)</f>
        <v>2810407</v>
      </c>
      <c r="D36" s="150" t="str">
        <f>IFERROR(__xludf.DUMMYFUNCTION("""COMPUTED_VALUE"""),"Social Media Video for Business and Marketing")</f>
        <v>Social Media Video for Business and Marketing</v>
      </c>
      <c r="E36" s="147" t="str">
        <f>IFERROR(__xludf.DUMMYFUNCTION("""COMPUTED_VALUE"""),"General")</f>
        <v>General</v>
      </c>
      <c r="F36" s="141" t="str">
        <f>IFERROR(__xludf.DUMMYFUNCTION("""COMPUTED_VALUE"""),"Beginner")</f>
        <v>Beginner</v>
      </c>
      <c r="G36" s="143">
        <f>IFERROR(__xludf.DUMMYFUNCTION("""COMPUTED_VALUE"""),0.043506944444444445)</f>
        <v>0.04350694444</v>
      </c>
      <c r="H36" s="151"/>
      <c r="I36" s="140"/>
      <c r="J36" s="140"/>
      <c r="K36" s="140"/>
      <c r="L36" s="147">
        <f>IFERROR(__xludf.DUMMYFUNCTION("""COMPUTED_VALUE"""),2824108.0)</f>
        <v>2824108</v>
      </c>
      <c r="M36" s="150" t="str">
        <f>IFERROR(__xludf.DUMMYFUNCTION("""COMPUTED_VALUE"""),"Practical Creativity for Everyone")</f>
        <v>Practical Creativity for Everyone</v>
      </c>
      <c r="N36" s="147" t="str">
        <f>IFERROR(__xludf.DUMMYFUNCTION("""COMPUTED_VALUE"""),"General")</f>
        <v>General</v>
      </c>
      <c r="O36" s="141" t="str">
        <f>IFERROR(__xludf.DUMMYFUNCTION("""COMPUTED_VALUE"""),"Beginner + Intermediate")</f>
        <v>Beginner + Intermediate</v>
      </c>
      <c r="P36" s="143">
        <f>IFERROR(__xludf.DUMMYFUNCTION("""COMPUTED_VALUE"""),0.025798611111111112)</f>
        <v>0.02579861111</v>
      </c>
      <c r="Q36" s="151"/>
      <c r="R36" s="140"/>
      <c r="S36" s="140"/>
    </row>
    <row r="37" ht="33.75" customHeight="1">
      <c r="A37" s="140"/>
      <c r="B37" s="140"/>
      <c r="C37" s="147">
        <f>IFERROR(__xludf.DUMMYFUNCTION("""COMPUTED_VALUE"""),2815150.0)</f>
        <v>2815150</v>
      </c>
      <c r="D37" s="150" t="str">
        <f>IFERROR(__xludf.DUMMYFUNCTION("""COMPUTED_VALUE"""),"Creating Marketing Objectives")</f>
        <v>Creating Marketing Objectives</v>
      </c>
      <c r="E37" s="147" t="str">
        <f>IFERROR(__xludf.DUMMYFUNCTION("""COMPUTED_VALUE"""),"General")</f>
        <v>General</v>
      </c>
      <c r="F37" s="141" t="str">
        <f>IFERROR(__xludf.DUMMYFUNCTION("""COMPUTED_VALUE"""),"Beginner")</f>
        <v>Beginner</v>
      </c>
      <c r="G37" s="143">
        <f>IFERROR(__xludf.DUMMYFUNCTION("""COMPUTED_VALUE"""),0.01734953703703704)</f>
        <v>0.01734953704</v>
      </c>
      <c r="H37" s="151"/>
      <c r="I37" s="140"/>
      <c r="J37" s="140"/>
      <c r="K37" s="140"/>
      <c r="L37" s="147">
        <f>IFERROR(__xludf.DUMMYFUNCTION("""COMPUTED_VALUE"""),5030976.0)</f>
        <v>5030976</v>
      </c>
      <c r="M37" s="150" t="str">
        <f>IFERROR(__xludf.DUMMYFUNCTION("""COMPUTED_VALUE"""),"Graphic Design Foundations: Ideas, Concepts, and Form")</f>
        <v>Graphic Design Foundations: Ideas, Concepts, and Form</v>
      </c>
      <c r="N37" s="147" t="str">
        <f>IFERROR(__xludf.DUMMYFUNCTION("""COMPUTED_VALUE"""),"General")</f>
        <v>General</v>
      </c>
      <c r="O37" s="141" t="str">
        <f>IFERROR(__xludf.DUMMYFUNCTION("""COMPUTED_VALUE"""),"Beginner + Intermediate")</f>
        <v>Beginner + Intermediate</v>
      </c>
      <c r="P37" s="143">
        <f>IFERROR(__xludf.DUMMYFUNCTION("""COMPUTED_VALUE"""),0.05987268518518519)</f>
        <v>0.05987268519</v>
      </c>
      <c r="Q37" s="151"/>
      <c r="R37" s="140"/>
      <c r="S37" s="140"/>
    </row>
    <row r="38" ht="33.75" customHeight="1">
      <c r="A38" s="140"/>
      <c r="B38" s="140"/>
      <c r="C38" s="147">
        <f>IFERROR(__xludf.DUMMYFUNCTION("""COMPUTED_VALUE"""),2816003.0)</f>
        <v>2816003</v>
      </c>
      <c r="D38" s="150" t="str">
        <f>IFERROR(__xludf.DUMMYFUNCTION("""COMPUTED_VALUE"""),"Determining Market Size for Your Product or Service")</f>
        <v>Determining Market Size for Your Product or Service</v>
      </c>
      <c r="E38" s="147" t="str">
        <f>IFERROR(__xludf.DUMMYFUNCTION("""COMPUTED_VALUE"""),"General")</f>
        <v>General</v>
      </c>
      <c r="F38" s="141" t="str">
        <f>IFERROR(__xludf.DUMMYFUNCTION("""COMPUTED_VALUE"""),"Beginner")</f>
        <v>Beginner</v>
      </c>
      <c r="G38" s="143">
        <f>IFERROR(__xludf.DUMMYFUNCTION("""COMPUTED_VALUE"""),0.022743055555555555)</f>
        <v>0.02274305556</v>
      </c>
      <c r="H38" s="151"/>
      <c r="I38" s="140"/>
      <c r="J38" s="140"/>
      <c r="K38" s="140"/>
      <c r="L38" s="147">
        <f>IFERROR(__xludf.DUMMYFUNCTION("""COMPUTED_VALUE"""),782124.0)</f>
        <v>782124</v>
      </c>
      <c r="M38" s="150" t="str">
        <f>IFERROR(__xludf.DUMMYFUNCTION("""COMPUTED_VALUE"""),"Applied Curiosity")</f>
        <v>Applied Curiosity</v>
      </c>
      <c r="N38" s="147" t="str">
        <f>IFERROR(__xludf.DUMMYFUNCTION("""COMPUTED_VALUE"""),"General")</f>
        <v>General</v>
      </c>
      <c r="O38" s="141" t="str">
        <f>IFERROR(__xludf.DUMMYFUNCTION("""COMPUTED_VALUE"""),"Beginner + Intermediate")</f>
        <v>Beginner + Intermediate</v>
      </c>
      <c r="P38" s="143">
        <f>IFERROR(__xludf.DUMMYFUNCTION("""COMPUTED_VALUE"""),0.03564814814814815)</f>
        <v>0.03564814815</v>
      </c>
      <c r="Q38" s="151"/>
      <c r="R38" s="140"/>
      <c r="S38" s="140"/>
    </row>
    <row r="39" ht="33.75" customHeight="1">
      <c r="A39" s="140"/>
      <c r="B39" s="140"/>
      <c r="C39" s="147">
        <f>IFERROR(__xludf.DUMMYFUNCTION("""COMPUTED_VALUE"""),5035823.0)</f>
        <v>5035823</v>
      </c>
      <c r="D39" s="150" t="str">
        <f>IFERROR(__xludf.DUMMYFUNCTION("""COMPUTED_VALUE"""),"Social Media Marketing Tips(2019)")</f>
        <v>Social Media Marketing Tips(2019)</v>
      </c>
      <c r="E39" s="147" t="str">
        <f>IFERROR(__xludf.DUMMYFUNCTION("""COMPUTED_VALUE"""),"General")</f>
        <v>General</v>
      </c>
      <c r="F39" s="141" t="str">
        <f>IFERROR(__xludf.DUMMYFUNCTION("""COMPUTED_VALUE"""),"Beginner")</f>
        <v>Beginner</v>
      </c>
      <c r="G39" s="143">
        <f>IFERROR(__xludf.DUMMYFUNCTION("""COMPUTED_VALUE"""),0.04020833333333333)</f>
        <v>0.04020833333</v>
      </c>
      <c r="H39" s="151"/>
      <c r="I39" s="140"/>
      <c r="J39" s="140"/>
      <c r="K39" s="140"/>
      <c r="L39" s="147">
        <f>IFERROR(__xludf.DUMMYFUNCTION("""COMPUTED_VALUE"""),138322.0)</f>
        <v>138322</v>
      </c>
      <c r="M39" s="150" t="str">
        <f>IFERROR(__xludf.DUMMYFUNCTION("""COMPUTED_VALUE"""),"Creativity: Generate Ideas in Greater Quantity and Quality")</f>
        <v>Creativity: Generate Ideas in Greater Quantity and Quality</v>
      </c>
      <c r="N39" s="147" t="str">
        <f>IFERROR(__xludf.DUMMYFUNCTION("""COMPUTED_VALUE"""),"General")</f>
        <v>General</v>
      </c>
      <c r="O39" s="141" t="str">
        <f>IFERROR(__xludf.DUMMYFUNCTION("""COMPUTED_VALUE"""),"Beginner + Intermediate")</f>
        <v>Beginner + Intermediate</v>
      </c>
      <c r="P39" s="143">
        <f>IFERROR(__xludf.DUMMYFUNCTION("""COMPUTED_VALUE"""),0.0409375)</f>
        <v>0.0409375</v>
      </c>
      <c r="Q39" s="151"/>
      <c r="R39" s="140"/>
      <c r="S39" s="140"/>
    </row>
    <row r="40" ht="33.75" customHeight="1">
      <c r="A40" s="140"/>
      <c r="B40" s="140"/>
      <c r="C40" s="147">
        <f>IFERROR(__xludf.DUMMYFUNCTION("""COMPUTED_VALUE"""),5038216.0)</f>
        <v>5038216</v>
      </c>
      <c r="D40" s="150" t="str">
        <f>IFERROR(__xludf.DUMMYFUNCTION("""COMPUTED_VALUE"""),"Marketing Foundations: Automation")</f>
        <v>Marketing Foundations: Automation</v>
      </c>
      <c r="E40" s="147" t="str">
        <f>IFERROR(__xludf.DUMMYFUNCTION("""COMPUTED_VALUE"""),"General")</f>
        <v>General</v>
      </c>
      <c r="F40" s="141" t="str">
        <f>IFERROR(__xludf.DUMMYFUNCTION("""COMPUTED_VALUE"""),"Beginner")</f>
        <v>Beginner</v>
      </c>
      <c r="G40" s="143">
        <f>IFERROR(__xludf.DUMMYFUNCTION("""COMPUTED_VALUE"""),0.029722222222222223)</f>
        <v>0.02972222222</v>
      </c>
      <c r="H40" s="151"/>
      <c r="I40" s="140"/>
      <c r="J40" s="140"/>
      <c r="K40" s="140"/>
      <c r="L40" s="147">
        <f>IFERROR(__xludf.DUMMYFUNCTION("""COMPUTED_VALUE"""),774900.0)</f>
        <v>774900</v>
      </c>
      <c r="M40" s="150" t="str">
        <f>IFERROR(__xludf.DUMMYFUNCTION("""COMPUTED_VALUE"""),"Creativity Tips for All Weekly")</f>
        <v>Creativity Tips for All Weekly</v>
      </c>
      <c r="N40" s="147" t="str">
        <f>IFERROR(__xludf.DUMMYFUNCTION("""COMPUTED_VALUE"""),"General")</f>
        <v>General</v>
      </c>
      <c r="O40" s="141" t="str">
        <f>IFERROR(__xludf.DUMMYFUNCTION("""COMPUTED_VALUE"""),"General")</f>
        <v>General</v>
      </c>
      <c r="P40" s="143">
        <f>IFERROR(__xludf.DUMMYFUNCTION("""COMPUTED_VALUE"""),0.2559606481481482)</f>
        <v>0.2559606481</v>
      </c>
      <c r="Q40" s="151"/>
      <c r="R40" s="140"/>
      <c r="S40" s="140"/>
    </row>
    <row r="41" ht="33.75" customHeight="1">
      <c r="A41" s="140"/>
      <c r="B41" s="140"/>
      <c r="C41" s="147">
        <f>IFERROR(__xludf.DUMMYFUNCTION("""COMPUTED_VALUE"""),2813226.0)</f>
        <v>2813226</v>
      </c>
      <c r="D41" s="150" t="str">
        <f>IFERROR(__xludf.DUMMYFUNCTION("""COMPUTED_VALUE"""),"Content Marketing: Newsletters")</f>
        <v>Content Marketing: Newsletters</v>
      </c>
      <c r="E41" s="147" t="str">
        <f>IFERROR(__xludf.DUMMYFUNCTION("""COMPUTED_VALUE"""),"General")</f>
        <v>General</v>
      </c>
      <c r="F41" s="141" t="str">
        <f>IFERROR(__xludf.DUMMYFUNCTION("""COMPUTED_VALUE"""),"Beginner")</f>
        <v>Beginner</v>
      </c>
      <c r="G41" s="143">
        <f>IFERROR(__xludf.DUMMYFUNCTION("""COMPUTED_VALUE"""),0.032928240740740744)</f>
        <v>0.03292824074</v>
      </c>
      <c r="H41" s="151"/>
      <c r="I41" s="140"/>
      <c r="J41" s="140"/>
      <c r="K41" s="140"/>
      <c r="L41" s="147">
        <f>IFERROR(__xludf.DUMMYFUNCTION("""COMPUTED_VALUE"""),706920.0)</f>
        <v>706920</v>
      </c>
      <c r="M41" s="150" t="str">
        <f>IFERROR(__xludf.DUMMYFUNCTION("""COMPUTED_VALUE"""),"Working with Creatives")</f>
        <v>Working with Creatives</v>
      </c>
      <c r="N41" s="147" t="str">
        <f>IFERROR(__xludf.DUMMYFUNCTION("""COMPUTED_VALUE"""),"General")</f>
        <v>General</v>
      </c>
      <c r="O41" s="141" t="str">
        <f>IFERROR(__xludf.DUMMYFUNCTION("""COMPUTED_VALUE"""),"General")</f>
        <v>General</v>
      </c>
      <c r="P41" s="143">
        <f>IFERROR(__xludf.DUMMYFUNCTION("""COMPUTED_VALUE"""),0.041400462962962965)</f>
        <v>0.04140046296</v>
      </c>
      <c r="Q41" s="151"/>
      <c r="R41" s="140"/>
      <c r="S41" s="140"/>
    </row>
    <row r="42" ht="33.75" customHeight="1">
      <c r="A42" s="140"/>
      <c r="B42" s="140"/>
      <c r="C42" s="147">
        <f>IFERROR(__xludf.DUMMYFUNCTION("""COMPUTED_VALUE"""),2814166.0)</f>
        <v>2814166</v>
      </c>
      <c r="D42" s="150" t="str">
        <f>IFERROR(__xludf.DUMMYFUNCTION("""COMPUTED_VALUE"""),"Identifying Your Target Market")</f>
        <v>Identifying Your Target Market</v>
      </c>
      <c r="E42" s="147" t="str">
        <f>IFERROR(__xludf.DUMMYFUNCTION("""COMPUTED_VALUE"""),"General")</f>
        <v>General</v>
      </c>
      <c r="F42" s="141" t="str">
        <f>IFERROR(__xludf.DUMMYFUNCTION("""COMPUTED_VALUE"""),"Beginner")</f>
        <v>Beginner</v>
      </c>
      <c r="G42" s="143">
        <f>IFERROR(__xludf.DUMMYFUNCTION("""COMPUTED_VALUE"""),0.029583333333333333)</f>
        <v>0.02958333333</v>
      </c>
      <c r="H42" s="151"/>
      <c r="I42" s="140"/>
      <c r="J42" s="140"/>
      <c r="K42" s="140"/>
      <c r="L42" s="147">
        <f>IFERROR(__xludf.DUMMYFUNCTION("""COMPUTED_VALUE"""),2839072.0)</f>
        <v>2839072</v>
      </c>
      <c r="M42" s="150" t="str">
        <f>IFERROR(__xludf.DUMMYFUNCTION("""COMPUTED_VALUE"""),"How to Boost Your Creativity at Home in 10 Days")</f>
        <v>How to Boost Your Creativity at Home in 10 Days</v>
      </c>
      <c r="N42" s="147" t="str">
        <f>IFERROR(__xludf.DUMMYFUNCTION("""COMPUTED_VALUE"""),"General")</f>
        <v>General</v>
      </c>
      <c r="O42" s="141" t="str">
        <f>IFERROR(__xludf.DUMMYFUNCTION("""COMPUTED_VALUE"""),"General")</f>
        <v>General</v>
      </c>
      <c r="P42" s="143">
        <f>IFERROR(__xludf.DUMMYFUNCTION("""COMPUTED_VALUE"""),0.022893518518518518)</f>
        <v>0.02289351852</v>
      </c>
      <c r="Q42" s="151"/>
      <c r="R42" s="140"/>
      <c r="S42" s="140"/>
    </row>
    <row r="43" ht="33.75" customHeight="1">
      <c r="A43" s="140"/>
      <c r="B43" s="140"/>
      <c r="C43" s="147">
        <f>IFERROR(__xludf.DUMMYFUNCTION("""COMPUTED_VALUE"""),2815022.0)</f>
        <v>2815022</v>
      </c>
      <c r="D43" s="150" t="str">
        <f>IFERROR(__xludf.DUMMYFUNCTION("""COMPUTED_VALUE"""),"Market Research Foundations")</f>
        <v>Market Research Foundations</v>
      </c>
      <c r="E43" s="147" t="str">
        <f>IFERROR(__xludf.DUMMYFUNCTION("""COMPUTED_VALUE"""),"General")</f>
        <v>General</v>
      </c>
      <c r="F43" s="141" t="str">
        <f>IFERROR(__xludf.DUMMYFUNCTION("""COMPUTED_VALUE"""),"Beginner")</f>
        <v>Beginner</v>
      </c>
      <c r="G43" s="143">
        <f>IFERROR(__xludf.DUMMYFUNCTION("""COMPUTED_VALUE"""),0.037731481481481484)</f>
        <v>0.03773148148</v>
      </c>
      <c r="H43" s="151"/>
      <c r="I43" s="140"/>
      <c r="J43" s="140"/>
      <c r="K43" s="140"/>
      <c r="L43" s="147">
        <f>IFERROR(__xludf.DUMMYFUNCTION("""COMPUTED_VALUE"""),2831007.0)</f>
        <v>2831007</v>
      </c>
      <c r="M43" s="150" t="str">
        <f>IFERROR(__xludf.DUMMYFUNCTION("""COMPUTED_VALUE"""),"21-Day Creative Exercise Desk Challenge")</f>
        <v>21-Day Creative Exercise Desk Challenge</v>
      </c>
      <c r="N43" s="147" t="str">
        <f>IFERROR(__xludf.DUMMYFUNCTION("""COMPUTED_VALUE"""),"General")</f>
        <v>General</v>
      </c>
      <c r="O43" s="141" t="str">
        <f>IFERROR(__xludf.DUMMYFUNCTION("""COMPUTED_VALUE"""),"General")</f>
        <v>General</v>
      </c>
      <c r="P43" s="143">
        <f>IFERROR(__xludf.DUMMYFUNCTION("""COMPUTED_VALUE"""),0.046689814814814816)</f>
        <v>0.04668981481</v>
      </c>
      <c r="Q43" s="151"/>
      <c r="R43" s="140"/>
      <c r="S43" s="140"/>
    </row>
    <row r="44" ht="33.75" customHeight="1">
      <c r="A44" s="140"/>
      <c r="B44" s="140"/>
      <c r="C44" s="147">
        <f>IFERROR(__xludf.DUMMYFUNCTION("""COMPUTED_VALUE"""),2817190.0)</f>
        <v>2817190</v>
      </c>
      <c r="D44" s="150" t="str">
        <f>IFERROR(__xludf.DUMMYFUNCTION("""COMPUTED_VALUE"""),"Marketing Foundations")</f>
        <v>Marketing Foundations</v>
      </c>
      <c r="E44" s="147" t="str">
        <f>IFERROR(__xludf.DUMMYFUNCTION("""COMPUTED_VALUE"""),"General")</f>
        <v>General</v>
      </c>
      <c r="F44" s="141" t="str">
        <f>IFERROR(__xludf.DUMMYFUNCTION("""COMPUTED_VALUE"""),"Beginner")</f>
        <v>Beginner</v>
      </c>
      <c r="G44" s="143">
        <f>IFERROR(__xludf.DUMMYFUNCTION("""COMPUTED_VALUE"""),0.034027777777777775)</f>
        <v>0.03402777778</v>
      </c>
      <c r="H44" s="151"/>
      <c r="I44" s="140"/>
      <c r="J44" s="140"/>
      <c r="K44" s="140"/>
      <c r="L44" s="147">
        <f>IFERROR(__xludf.DUMMYFUNCTION("""COMPUTED_VALUE"""),2823037.0)</f>
        <v>2823037</v>
      </c>
      <c r="M44" s="150" t="str">
        <f>IFERROR(__xludf.DUMMYFUNCTION("""COMPUTED_VALUE"""),"Banish Your Inner Critic to Unleash Creativity")</f>
        <v>Banish Your Inner Critic to Unleash Creativity</v>
      </c>
      <c r="N44" s="147" t="str">
        <f>IFERROR(__xludf.DUMMYFUNCTION("""COMPUTED_VALUE"""),"General")</f>
        <v>General</v>
      </c>
      <c r="O44" s="141" t="str">
        <f>IFERROR(__xludf.DUMMYFUNCTION("""COMPUTED_VALUE"""),"General")</f>
        <v>General</v>
      </c>
      <c r="P44" s="143">
        <f>IFERROR(__xludf.DUMMYFUNCTION("""COMPUTED_VALUE"""),0.04313657407407408)</f>
        <v>0.04313657407</v>
      </c>
      <c r="Q44" s="151"/>
      <c r="R44" s="140"/>
      <c r="S44" s="140"/>
    </row>
    <row r="45" ht="33.75" customHeight="1">
      <c r="A45" s="140"/>
      <c r="B45" s="140"/>
      <c r="C45" s="147">
        <f>IFERROR(__xludf.DUMMYFUNCTION("""COMPUTED_VALUE"""),2820163.0)</f>
        <v>2820163</v>
      </c>
      <c r="D45" s="150" t="str">
        <f>IFERROR(__xludf.DUMMYFUNCTION("""COMPUTED_VALUE"""),"Shopify Ecommerce for Marketers")</f>
        <v>Shopify Ecommerce for Marketers</v>
      </c>
      <c r="E45" s="147" t="str">
        <f>IFERROR(__xludf.DUMMYFUNCTION("""COMPUTED_VALUE"""),"General")</f>
        <v>General</v>
      </c>
      <c r="F45" s="141" t="str">
        <f>IFERROR(__xludf.DUMMYFUNCTION("""COMPUTED_VALUE"""),"Beginner")</f>
        <v>Beginner</v>
      </c>
      <c r="G45" s="143">
        <f>IFERROR(__xludf.DUMMYFUNCTION("""COMPUTED_VALUE"""),0.034837962962962966)</f>
        <v>0.03483796296</v>
      </c>
      <c r="H45" s="151"/>
      <c r="I45" s="140"/>
      <c r="J45" s="140"/>
      <c r="K45" s="140"/>
      <c r="L45" s="147">
        <f>IFERROR(__xludf.DUMMYFUNCTION("""COMPUTED_VALUE"""),2825163.0)</f>
        <v>2825163</v>
      </c>
      <c r="M45" s="150" t="str">
        <f>IFERROR(__xludf.DUMMYFUNCTION("""COMPUTED_VALUE"""),"Implementing Creative Feedback the Win-Win Way")</f>
        <v>Implementing Creative Feedback the Win-Win Way</v>
      </c>
      <c r="N45" s="147" t="str">
        <f>IFERROR(__xludf.DUMMYFUNCTION("""COMPUTED_VALUE"""),"General")</f>
        <v>General</v>
      </c>
      <c r="O45" s="141" t="str">
        <f>IFERROR(__xludf.DUMMYFUNCTION("""COMPUTED_VALUE"""),"General")</f>
        <v>General</v>
      </c>
      <c r="P45" s="143">
        <f>IFERROR(__xludf.DUMMYFUNCTION("""COMPUTED_VALUE"""),0.01744212962962963)</f>
        <v>0.01744212963</v>
      </c>
      <c r="Q45" s="151"/>
      <c r="R45" s="140"/>
      <c r="S45" s="140"/>
    </row>
    <row r="46" ht="33.75" customHeight="1">
      <c r="A46" s="140"/>
      <c r="B46" s="140"/>
      <c r="C46" s="147">
        <f>IFERROR(__xludf.DUMMYFUNCTION("""COMPUTED_VALUE"""),2822025.0)</f>
        <v>2822025</v>
      </c>
      <c r="D46" s="150" t="str">
        <f>IFERROR(__xludf.DUMMYFUNCTION("""COMPUTED_VALUE"""),"Marketing and Monetizing on YouTube")</f>
        <v>Marketing and Monetizing on YouTube</v>
      </c>
      <c r="E46" s="147" t="str">
        <f>IFERROR(__xludf.DUMMYFUNCTION("""COMPUTED_VALUE"""),"General")</f>
        <v>General</v>
      </c>
      <c r="F46" s="141" t="str">
        <f>IFERROR(__xludf.DUMMYFUNCTION("""COMPUTED_VALUE"""),"Beginner")</f>
        <v>Beginner</v>
      </c>
      <c r="G46" s="143">
        <f>IFERROR(__xludf.DUMMYFUNCTION("""COMPUTED_VALUE"""),0.08716435185185185)</f>
        <v>0.08716435185</v>
      </c>
      <c r="H46" s="151"/>
      <c r="I46" s="140"/>
      <c r="J46" s="140"/>
      <c r="K46" s="140"/>
      <c r="L46" s="147">
        <f>IFERROR(__xludf.DUMMYFUNCTION("""COMPUTED_VALUE"""),2804662.0)</f>
        <v>2804662</v>
      </c>
      <c r="M46" s="150" t="str">
        <f>IFERROR(__xludf.DUMMYFUNCTION("""COMPUTED_VALUE"""),"Branding Strategy: Define Your Creative Edge")</f>
        <v>Branding Strategy: Define Your Creative Edge</v>
      </c>
      <c r="N46" s="147" t="str">
        <f>IFERROR(__xludf.DUMMYFUNCTION("""COMPUTED_VALUE"""),"General")</f>
        <v>General</v>
      </c>
      <c r="O46" s="141" t="str">
        <f>IFERROR(__xludf.DUMMYFUNCTION("""COMPUTED_VALUE"""),"General")</f>
        <v>General</v>
      </c>
      <c r="P46" s="143">
        <f>IFERROR(__xludf.DUMMYFUNCTION("""COMPUTED_VALUE"""),0.05619212962962963)</f>
        <v>0.05619212963</v>
      </c>
      <c r="Q46" s="151"/>
      <c r="R46" s="140"/>
      <c r="S46" s="140"/>
    </row>
    <row r="47" ht="33.75" customHeight="1">
      <c r="A47" s="140"/>
      <c r="B47" s="140"/>
      <c r="C47" s="147">
        <f>IFERROR(__xludf.DUMMYFUNCTION("""COMPUTED_VALUE"""),2823142.0)</f>
        <v>2823142</v>
      </c>
      <c r="D47" s="150" t="str">
        <f>IFERROR(__xludf.DUMMYFUNCTION("""COMPUTED_VALUE"""),"Content Marketing Foundations")</f>
        <v>Content Marketing Foundations</v>
      </c>
      <c r="E47" s="147" t="str">
        <f>IFERROR(__xludf.DUMMYFUNCTION("""COMPUTED_VALUE"""),"General")</f>
        <v>General</v>
      </c>
      <c r="F47" s="141" t="str">
        <f>IFERROR(__xludf.DUMMYFUNCTION("""COMPUTED_VALUE"""),"Beginner")</f>
        <v>Beginner</v>
      </c>
      <c r="G47" s="143">
        <f>IFERROR(__xludf.DUMMYFUNCTION("""COMPUTED_VALUE"""),0.03701388888888889)</f>
        <v>0.03701388889</v>
      </c>
      <c r="H47" s="151"/>
      <c r="I47" s="140"/>
      <c r="J47" s="140"/>
      <c r="K47" s="140"/>
      <c r="L47" s="147">
        <f>IFERROR(__xludf.DUMMYFUNCTION("""COMPUTED_VALUE"""),2836030.0)</f>
        <v>2836030</v>
      </c>
      <c r="M47" s="150" t="str">
        <f>IFERROR(__xludf.DUMMYFUNCTION("""COMPUTED_VALUE"""),"Unlocking Creativity (Blinkist Summary)")</f>
        <v>Unlocking Creativity (Blinkist Summary)</v>
      </c>
      <c r="N47" s="147" t="str">
        <f>IFERROR(__xludf.DUMMYFUNCTION("""COMPUTED_VALUE"""),"General")</f>
        <v>General</v>
      </c>
      <c r="O47" s="141" t="str">
        <f>IFERROR(__xludf.DUMMYFUNCTION("""COMPUTED_VALUE"""),"General")</f>
        <v>General</v>
      </c>
      <c r="P47" s="143">
        <f>IFERROR(__xludf.DUMMYFUNCTION("""COMPUTED_VALUE"""),0.014027777777777778)</f>
        <v>0.01402777778</v>
      </c>
      <c r="Q47" s="151"/>
      <c r="R47" s="140"/>
      <c r="S47" s="140"/>
    </row>
    <row r="48" ht="33.75" customHeight="1">
      <c r="A48" s="140"/>
      <c r="B48" s="140"/>
      <c r="C48" s="147">
        <f>IFERROR(__xludf.DUMMYFUNCTION("""COMPUTED_VALUE"""),2825028.0)</f>
        <v>2825028</v>
      </c>
      <c r="D48" s="150" t="str">
        <f>IFERROR(__xludf.DUMMYFUNCTION("""COMPUTED_VALUE"""),"Learning Google AdSense")</f>
        <v>Learning Google AdSense</v>
      </c>
      <c r="E48" s="147" t="str">
        <f>IFERROR(__xludf.DUMMYFUNCTION("""COMPUTED_VALUE"""),"General")</f>
        <v>General</v>
      </c>
      <c r="F48" s="141" t="str">
        <f>IFERROR(__xludf.DUMMYFUNCTION("""COMPUTED_VALUE"""),"Beginner")</f>
        <v>Beginner</v>
      </c>
      <c r="G48" s="143">
        <f>IFERROR(__xludf.DUMMYFUNCTION("""COMPUTED_VALUE"""),0.04672453703703704)</f>
        <v>0.04672453704</v>
      </c>
      <c r="H48" s="151"/>
      <c r="I48" s="140"/>
      <c r="J48" s="140"/>
      <c r="K48" s="140"/>
      <c r="L48" s="147">
        <f>IFERROR(__xludf.DUMMYFUNCTION("""COMPUTED_VALUE"""),2841399.0)</f>
        <v>2841399</v>
      </c>
      <c r="M48" s="150" t="str">
        <f>IFERROR(__xludf.DUMMYFUNCTION("""COMPUTED_VALUE"""),"Design Thinking: Understanding the Process")</f>
        <v>Design Thinking: Understanding the Process</v>
      </c>
      <c r="N48" s="147" t="str">
        <f>IFERROR(__xludf.DUMMYFUNCTION("""COMPUTED_VALUE"""),"General")</f>
        <v>General</v>
      </c>
      <c r="O48" s="141" t="str">
        <f>IFERROR(__xludf.DUMMYFUNCTION("""COMPUTED_VALUE"""),"General")</f>
        <v>General</v>
      </c>
      <c r="P48" s="143">
        <f>IFERROR(__xludf.DUMMYFUNCTION("""COMPUTED_VALUE"""),0.02912037037037037)</f>
        <v>0.02912037037</v>
      </c>
      <c r="Q48" s="151"/>
      <c r="R48" s="140"/>
      <c r="S48" s="140"/>
    </row>
    <row r="49" ht="33.75" customHeight="1">
      <c r="A49" s="140"/>
      <c r="B49" s="140"/>
      <c r="C49" s="147">
        <f>IFERROR(__xludf.DUMMYFUNCTION("""COMPUTED_VALUE"""),2825058.0)</f>
        <v>2825058</v>
      </c>
      <c r="D49" s="150" t="str">
        <f>IFERROR(__xludf.DUMMYFUNCTION("""COMPUTED_VALUE"""),"Advertising on Twitter")</f>
        <v>Advertising on Twitter</v>
      </c>
      <c r="E49" s="147" t="str">
        <f>IFERROR(__xludf.DUMMYFUNCTION("""COMPUTED_VALUE"""),"General")</f>
        <v>General</v>
      </c>
      <c r="F49" s="141" t="str">
        <f>IFERROR(__xludf.DUMMYFUNCTION("""COMPUTED_VALUE"""),"Beginner")</f>
        <v>Beginner</v>
      </c>
      <c r="G49" s="143">
        <f>IFERROR(__xludf.DUMMYFUNCTION("""COMPUTED_VALUE"""),0.06077546296296296)</f>
        <v>0.06077546296</v>
      </c>
      <c r="H49" s="151"/>
      <c r="I49" s="140"/>
      <c r="J49" s="140"/>
      <c r="K49" s="140"/>
      <c r="L49" s="147">
        <f>IFERROR(__xludf.DUMMYFUNCTION("""COMPUTED_VALUE"""),2887259.0)</f>
        <v>2887259</v>
      </c>
      <c r="M49" s="150" t="str">
        <f>IFERROR(__xludf.DUMMYFUNCTION("""COMPUTED_VALUE"""),"Conducting a SWOT Analysis")</f>
        <v>Conducting a SWOT Analysis</v>
      </c>
      <c r="N49" s="147" t="str">
        <f>IFERROR(__xludf.DUMMYFUNCTION("""COMPUTED_VALUE"""),"General")</f>
        <v>General</v>
      </c>
      <c r="O49" s="141" t="str">
        <f>IFERROR(__xludf.DUMMYFUNCTION("""COMPUTED_VALUE"""),"General")</f>
        <v>General</v>
      </c>
      <c r="P49" s="143">
        <f>IFERROR(__xludf.DUMMYFUNCTION("""COMPUTED_VALUE"""),0.032789351851851854)</f>
        <v>0.03278935185</v>
      </c>
      <c r="Q49" s="151"/>
      <c r="R49" s="140"/>
      <c r="S49" s="140"/>
    </row>
    <row r="50" ht="33.75" customHeight="1">
      <c r="A50" s="140"/>
      <c r="B50" s="140"/>
      <c r="C50" s="147">
        <f>IFERROR(__xludf.DUMMYFUNCTION("""COMPUTED_VALUE"""),2825133.0)</f>
        <v>2825133</v>
      </c>
      <c r="D50" s="150" t="str">
        <f>IFERROR(__xludf.DUMMYFUNCTION("""COMPUTED_VALUE"""),"Social Media Marketing Foundations")</f>
        <v>Social Media Marketing Foundations</v>
      </c>
      <c r="E50" s="147" t="str">
        <f>IFERROR(__xludf.DUMMYFUNCTION("""COMPUTED_VALUE"""),"General")</f>
        <v>General</v>
      </c>
      <c r="F50" s="141" t="str">
        <f>IFERROR(__xludf.DUMMYFUNCTION("""COMPUTED_VALUE"""),"Beginner")</f>
        <v>Beginner</v>
      </c>
      <c r="G50" s="143">
        <f>IFERROR(__xludf.DUMMYFUNCTION("""COMPUTED_VALUE"""),0.03643518518518519)</f>
        <v>0.03643518519</v>
      </c>
      <c r="H50" s="151"/>
      <c r="I50" s="140"/>
      <c r="J50" s="140"/>
      <c r="K50" s="140"/>
      <c r="L50" s="147">
        <f>IFERROR(__xludf.DUMMYFUNCTION("""COMPUTED_VALUE"""),2423502.0)</f>
        <v>2423502</v>
      </c>
      <c r="M50" s="150" t="str">
        <f>IFERROR(__xludf.DUMMYFUNCTION("""COMPUTED_VALUE"""),"Creativity at Work: A Short Course from Seth Godin")</f>
        <v>Creativity at Work: A Short Course from Seth Godin</v>
      </c>
      <c r="N50" s="147" t="str">
        <f>IFERROR(__xludf.DUMMYFUNCTION("""COMPUTED_VALUE"""),"General")</f>
        <v>General</v>
      </c>
      <c r="O50" s="141" t="str">
        <f>IFERROR(__xludf.DUMMYFUNCTION("""COMPUTED_VALUE"""),"General")</f>
        <v>General</v>
      </c>
      <c r="P50" s="143">
        <f>IFERROR(__xludf.DUMMYFUNCTION("""COMPUTED_VALUE"""),0.02634259259259259)</f>
        <v>0.02634259259</v>
      </c>
      <c r="Q50" s="151"/>
      <c r="R50" s="140"/>
      <c r="S50" s="140"/>
    </row>
    <row r="51" ht="33.75" customHeight="1">
      <c r="A51" s="140"/>
      <c r="B51" s="140"/>
      <c r="C51" s="147">
        <f>IFERROR(__xludf.DUMMYFUNCTION("""COMPUTED_VALUE"""),2825441.0)</f>
        <v>2825441</v>
      </c>
      <c r="D51" s="150" t="str">
        <f>IFERROR(__xludf.DUMMYFUNCTION("""COMPUTED_VALUE"""),"Branding Foundations")</f>
        <v>Branding Foundations</v>
      </c>
      <c r="E51" s="147" t="str">
        <f>IFERROR(__xludf.DUMMYFUNCTION("""COMPUTED_VALUE"""),"General")</f>
        <v>General</v>
      </c>
      <c r="F51" s="141" t="str">
        <f>IFERROR(__xludf.DUMMYFUNCTION("""COMPUTED_VALUE"""),"Beginner")</f>
        <v>Beginner</v>
      </c>
      <c r="G51" s="143">
        <f>IFERROR(__xludf.DUMMYFUNCTION("""COMPUTED_VALUE"""),0.03670138888888889)</f>
        <v>0.03670138889</v>
      </c>
      <c r="H51" s="151"/>
      <c r="I51" s="140"/>
      <c r="J51" s="140"/>
      <c r="K51" s="140"/>
      <c r="L51" s="147">
        <f>IFERROR(__xludf.DUMMYFUNCTION("""COMPUTED_VALUE"""),3013038.0)</f>
        <v>3013038</v>
      </c>
      <c r="M51" s="150" t="str">
        <f>IFERROR(__xludf.DUMMYFUNCTION("""COMPUTED_VALUE"""),"Creative Confidence (Blinkist Summary)")</f>
        <v>Creative Confidence (Blinkist Summary)</v>
      </c>
      <c r="N51" s="147" t="str">
        <f>IFERROR(__xludf.DUMMYFUNCTION("""COMPUTED_VALUE"""),"General")</f>
        <v>General</v>
      </c>
      <c r="O51" s="141" t="str">
        <f>IFERROR(__xludf.DUMMYFUNCTION("""COMPUTED_VALUE"""),"General")</f>
        <v>General</v>
      </c>
      <c r="P51" s="143">
        <f>IFERROR(__xludf.DUMMYFUNCTION("""COMPUTED_VALUE"""),0.01412037037037037)</f>
        <v>0.01412037037</v>
      </c>
      <c r="Q51" s="151"/>
      <c r="R51" s="140"/>
      <c r="S51" s="140"/>
    </row>
    <row r="52" ht="33.75" customHeight="1">
      <c r="A52" s="140"/>
      <c r="B52" s="140"/>
      <c r="C52" s="147">
        <f>IFERROR(__xludf.DUMMYFUNCTION("""COMPUTED_VALUE"""),5038214.0)</f>
        <v>5038214</v>
      </c>
      <c r="D52" s="150" t="str">
        <f>IFERROR(__xludf.DUMMYFUNCTION("""COMPUTED_VALUE"""),"Marketing to Generation Z")</f>
        <v>Marketing to Generation Z</v>
      </c>
      <c r="E52" s="147" t="str">
        <f>IFERROR(__xludf.DUMMYFUNCTION("""COMPUTED_VALUE"""),"General")</f>
        <v>General</v>
      </c>
      <c r="F52" s="141" t="str">
        <f>IFERROR(__xludf.DUMMYFUNCTION("""COMPUTED_VALUE"""),"Beginner")</f>
        <v>Beginner</v>
      </c>
      <c r="G52" s="143">
        <f>IFERROR(__xludf.DUMMYFUNCTION("""COMPUTED_VALUE"""),0.02003472222222222)</f>
        <v>0.02003472222</v>
      </c>
      <c r="H52" s="151"/>
      <c r="I52" s="140"/>
      <c r="J52" s="140"/>
      <c r="K52" s="140"/>
      <c r="L52" s="147">
        <f>IFERROR(__xludf.DUMMYFUNCTION("""COMPUTED_VALUE"""),2873280.0)</f>
        <v>2873280</v>
      </c>
      <c r="M52" s="150" t="str">
        <f>IFERROR(__xludf.DUMMYFUNCTION("""COMPUTED_VALUE"""),"Productive Creativity")</f>
        <v>Productive Creativity</v>
      </c>
      <c r="N52" s="147" t="str">
        <f>IFERROR(__xludf.DUMMYFUNCTION("""COMPUTED_VALUE"""),"General")</f>
        <v>General</v>
      </c>
      <c r="O52" s="141" t="str">
        <f>IFERROR(__xludf.DUMMYFUNCTION("""COMPUTED_VALUE"""),"General")</f>
        <v>General</v>
      </c>
      <c r="P52" s="143">
        <f>IFERROR(__xludf.DUMMYFUNCTION("""COMPUTED_VALUE"""),0.039108796296296294)</f>
        <v>0.0391087963</v>
      </c>
      <c r="Q52" s="151"/>
      <c r="R52" s="140"/>
      <c r="S52" s="140"/>
    </row>
    <row r="53" ht="33.75" customHeight="1">
      <c r="A53" s="140"/>
      <c r="B53" s="140"/>
      <c r="C53" s="147">
        <f>IFERROR(__xludf.DUMMYFUNCTION("""COMPUTED_VALUE"""),2822427.0)</f>
        <v>2822427</v>
      </c>
      <c r="D53" s="150" t="str">
        <f>IFERROR(__xludf.DUMMYFUNCTION("""COMPUTED_VALUE"""),"Marketing Tools: Digital Marketing Tools and Services")</f>
        <v>Marketing Tools: Digital Marketing Tools and Services</v>
      </c>
      <c r="E53" s="147" t="str">
        <f>IFERROR(__xludf.DUMMYFUNCTION("""COMPUTED_VALUE"""),"General")</f>
        <v>General</v>
      </c>
      <c r="F53" s="141" t="str">
        <f>IFERROR(__xludf.DUMMYFUNCTION("""COMPUTED_VALUE"""),"Beginner")</f>
        <v>Beginner</v>
      </c>
      <c r="G53" s="143">
        <f>IFERROR(__xludf.DUMMYFUNCTION("""COMPUTED_VALUE"""),0.07762731481481482)</f>
        <v>0.07762731481</v>
      </c>
      <c r="H53" s="151"/>
      <c r="I53" s="140"/>
      <c r="J53" s="140"/>
      <c r="K53" s="140"/>
      <c r="L53" s="147">
        <f>IFERROR(__xludf.DUMMYFUNCTION("""COMPUTED_VALUE"""),2880063.0)</f>
        <v>2880063</v>
      </c>
      <c r="M53" s="150" t="str">
        <f>IFERROR(__xludf.DUMMYFUNCTION("""COMPUTED_VALUE"""),"Unique Ways to Generate Creative Ideas")</f>
        <v>Unique Ways to Generate Creative Ideas</v>
      </c>
      <c r="N53" s="147" t="str">
        <f>IFERROR(__xludf.DUMMYFUNCTION("""COMPUTED_VALUE"""),"General")</f>
        <v>General</v>
      </c>
      <c r="O53" s="141" t="str">
        <f>IFERROR(__xludf.DUMMYFUNCTION("""COMPUTED_VALUE"""),"General")</f>
        <v>General</v>
      </c>
      <c r="P53" s="143">
        <f>IFERROR(__xludf.DUMMYFUNCTION("""COMPUTED_VALUE"""),0.045162037037037035)</f>
        <v>0.04516203704</v>
      </c>
      <c r="Q53" s="151"/>
      <c r="R53" s="140"/>
      <c r="S53" s="140"/>
    </row>
    <row r="54" ht="33.75" customHeight="1">
      <c r="A54" s="140"/>
      <c r="B54" s="140"/>
      <c r="C54" s="147">
        <f>IFERROR(__xludf.DUMMYFUNCTION("""COMPUTED_VALUE"""),2822636.0)</f>
        <v>2822636</v>
      </c>
      <c r="D54" s="150" t="str">
        <f>IFERROR(__xludf.DUMMYFUNCTION("""COMPUTED_VALUE"""),"Content Marketing for Social Media")</f>
        <v>Content Marketing for Social Media</v>
      </c>
      <c r="E54" s="147" t="str">
        <f>IFERROR(__xludf.DUMMYFUNCTION("""COMPUTED_VALUE"""),"General")</f>
        <v>General</v>
      </c>
      <c r="F54" s="141" t="str">
        <f>IFERROR(__xludf.DUMMYFUNCTION("""COMPUTED_VALUE"""),"Beginner")</f>
        <v>Beginner</v>
      </c>
      <c r="G54" s="143">
        <f>IFERROR(__xludf.DUMMYFUNCTION("""COMPUTED_VALUE"""),0.04010416666666667)</f>
        <v>0.04010416667</v>
      </c>
      <c r="H54" s="151"/>
      <c r="I54" s="140"/>
      <c r="J54" s="140"/>
      <c r="K54" s="140"/>
      <c r="L54" s="147">
        <f>IFERROR(__xludf.DUMMYFUNCTION("""COMPUTED_VALUE"""),2885072.0)</f>
        <v>2885072</v>
      </c>
      <c r="M54" s="150" t="str">
        <f>IFERROR(__xludf.DUMMYFUNCTION("""COMPUTED_VALUE"""),"Finding Creativity in Uncertain Times")</f>
        <v>Finding Creativity in Uncertain Times</v>
      </c>
      <c r="N54" s="147" t="str">
        <f>IFERROR(__xludf.DUMMYFUNCTION("""COMPUTED_VALUE"""),"General")</f>
        <v>General</v>
      </c>
      <c r="O54" s="141" t="str">
        <f>IFERROR(__xludf.DUMMYFUNCTION("""COMPUTED_VALUE"""),"General")</f>
        <v>General</v>
      </c>
      <c r="P54" s="143">
        <f>IFERROR(__xludf.DUMMYFUNCTION("""COMPUTED_VALUE"""),0.03450231481481481)</f>
        <v>0.03450231481</v>
      </c>
      <c r="Q54" s="151"/>
      <c r="R54" s="140"/>
      <c r="S54" s="140"/>
    </row>
    <row r="55" ht="33.75" customHeight="1">
      <c r="A55" s="140"/>
      <c r="B55" s="140"/>
      <c r="C55" s="147">
        <f>IFERROR(__xludf.DUMMYFUNCTION("""COMPUTED_VALUE"""),2823516.0)</f>
        <v>2823516</v>
      </c>
      <c r="D55" s="150" t="str">
        <f>IFERROR(__xludf.DUMMYFUNCTION("""COMPUTED_VALUE"""),"Introduction to Social Media Strategy")</f>
        <v>Introduction to Social Media Strategy</v>
      </c>
      <c r="E55" s="147" t="str">
        <f>IFERROR(__xludf.DUMMYFUNCTION("""COMPUTED_VALUE"""),"General")</f>
        <v>General</v>
      </c>
      <c r="F55" s="141" t="str">
        <f>IFERROR(__xludf.DUMMYFUNCTION("""COMPUTED_VALUE"""),"Beginner")</f>
        <v>Beginner</v>
      </c>
      <c r="G55" s="143">
        <f>IFERROR(__xludf.DUMMYFUNCTION("""COMPUTED_VALUE"""),0.07594907407407407)</f>
        <v>0.07594907407</v>
      </c>
      <c r="H55" s="151"/>
      <c r="I55" s="140"/>
      <c r="J55" s="140"/>
      <c r="K55" s="140"/>
      <c r="L55" s="147">
        <f>IFERROR(__xludf.DUMMYFUNCTION("""COMPUTED_VALUE"""),2841547.0)</f>
        <v>2841547</v>
      </c>
      <c r="M55" s="150" t="str">
        <f>IFERROR(__xludf.DUMMYFUNCTION("""COMPUTED_VALUE"""),"UX Deep Dive: Remote Research")</f>
        <v>UX Deep Dive: Remote Research</v>
      </c>
      <c r="N55" s="147" t="str">
        <f>IFERROR(__xludf.DUMMYFUNCTION("""COMPUTED_VALUE"""),"General")</f>
        <v>General</v>
      </c>
      <c r="O55" s="141" t="str">
        <f>IFERROR(__xludf.DUMMYFUNCTION("""COMPUTED_VALUE"""),"Intermediate")</f>
        <v>Intermediate</v>
      </c>
      <c r="P55" s="143">
        <f>IFERROR(__xludf.DUMMYFUNCTION("""COMPUTED_VALUE"""),0.018090277777777778)</f>
        <v>0.01809027778</v>
      </c>
      <c r="Q55" s="151"/>
      <c r="R55" s="140"/>
      <c r="S55" s="140"/>
    </row>
    <row r="56" ht="33.75" customHeight="1">
      <c r="A56" s="140"/>
      <c r="B56" s="140"/>
      <c r="C56" s="147">
        <f>IFERROR(__xludf.DUMMYFUNCTION("""COMPUTED_VALUE"""),2822476.0)</f>
        <v>2822476</v>
      </c>
      <c r="D56" s="150" t="str">
        <f>IFERROR(__xludf.DUMMYFUNCTION("""COMPUTED_VALUE"""),"Small Business Marketing")</f>
        <v>Small Business Marketing</v>
      </c>
      <c r="E56" s="147" t="str">
        <f>IFERROR(__xludf.DUMMYFUNCTION("""COMPUTED_VALUE"""),"General")</f>
        <v>General</v>
      </c>
      <c r="F56" s="141" t="str">
        <f>IFERROR(__xludf.DUMMYFUNCTION("""COMPUTED_VALUE"""),"Beginner")</f>
        <v>Beginner</v>
      </c>
      <c r="G56" s="143">
        <f>IFERROR(__xludf.DUMMYFUNCTION("""COMPUTED_VALUE"""),0.04230324074074074)</f>
        <v>0.04230324074</v>
      </c>
      <c r="H56" s="151"/>
      <c r="I56" s="140"/>
      <c r="J56" s="140"/>
      <c r="K56" s="140"/>
      <c r="L56" s="147">
        <f>IFERROR(__xludf.DUMMYFUNCTION("""COMPUTED_VALUE"""),718627.0)</f>
        <v>718627</v>
      </c>
      <c r="M56" s="150" t="str">
        <f>IFERROR(__xludf.DUMMYFUNCTION("""COMPUTED_VALUE"""),"Enhancing Team Innovation")</f>
        <v>Enhancing Team Innovation</v>
      </c>
      <c r="N56" s="147" t="str">
        <f>IFERROR(__xludf.DUMMYFUNCTION("""COMPUTED_VALUE"""),"General")</f>
        <v>General</v>
      </c>
      <c r="O56" s="141" t="str">
        <f>IFERROR(__xludf.DUMMYFUNCTION("""COMPUTED_VALUE"""),"Intermediate")</f>
        <v>Intermediate</v>
      </c>
      <c r="P56" s="143">
        <f>IFERROR(__xludf.DUMMYFUNCTION("""COMPUTED_VALUE"""),0.051597222222222225)</f>
        <v>0.05159722222</v>
      </c>
      <c r="Q56" s="151"/>
      <c r="R56" s="140"/>
      <c r="S56" s="140"/>
    </row>
    <row r="57" ht="33.75" customHeight="1">
      <c r="A57" s="140"/>
      <c r="B57" s="140"/>
      <c r="C57" s="147">
        <f>IFERROR(__xludf.DUMMYFUNCTION("""COMPUTED_VALUE"""),2823493.0)</f>
        <v>2823493</v>
      </c>
      <c r="D57" s="150" t="str">
        <f>IFERROR(__xludf.DUMMYFUNCTION("""COMPUTED_VALUE"""),"Marketing Analytics: Setting and Measuring KPIs")</f>
        <v>Marketing Analytics: Setting and Measuring KPIs</v>
      </c>
      <c r="E57" s="147" t="str">
        <f>IFERROR(__xludf.DUMMYFUNCTION("""COMPUTED_VALUE"""),"General")</f>
        <v>General</v>
      </c>
      <c r="F57" s="141" t="str">
        <f>IFERROR(__xludf.DUMMYFUNCTION("""COMPUTED_VALUE"""),"Beginner")</f>
        <v>Beginner</v>
      </c>
      <c r="G57" s="143">
        <f>IFERROR(__xludf.DUMMYFUNCTION("""COMPUTED_VALUE"""),0.023055555555555555)</f>
        <v>0.02305555556</v>
      </c>
      <c r="H57" s="151"/>
      <c r="I57" s="140"/>
      <c r="J57" s="140"/>
      <c r="K57" s="140"/>
      <c r="L57" s="147">
        <f>IFERROR(__xludf.DUMMYFUNCTION("""COMPUTED_VALUE"""),2824253.0)</f>
        <v>2824253</v>
      </c>
      <c r="M57" s="150" t="str">
        <f>IFERROR(__xludf.DUMMYFUNCTION("""COMPUTED_VALUE"""),"Psychological Safety: Clear Blocks to Innovation, Collaboration, and Risk-Taking")</f>
        <v>Psychological Safety: Clear Blocks to Innovation, Collaboration, and Risk-Taking</v>
      </c>
      <c r="N57" s="147" t="str">
        <f>IFERROR(__xludf.DUMMYFUNCTION("""COMPUTED_VALUE"""),"General")</f>
        <v>General</v>
      </c>
      <c r="O57" s="141" t="str">
        <f>IFERROR(__xludf.DUMMYFUNCTION("""COMPUTED_VALUE"""),"Intermediate")</f>
        <v>Intermediate</v>
      </c>
      <c r="P57" s="143">
        <f>IFERROR(__xludf.DUMMYFUNCTION("""COMPUTED_VALUE"""),0.01712962962962963)</f>
        <v>0.01712962963</v>
      </c>
      <c r="Q57" s="151"/>
      <c r="R57" s="140"/>
      <c r="S57" s="140"/>
    </row>
    <row r="58" ht="33.75" customHeight="1">
      <c r="A58" s="140"/>
      <c r="B58" s="140"/>
      <c r="C58" s="147">
        <f>IFERROR(__xludf.DUMMYFUNCTION("""COMPUTED_VALUE"""),2824266.0)</f>
        <v>2824266</v>
      </c>
      <c r="D58" s="150" t="str">
        <f>IFERROR(__xludf.DUMMYFUNCTION("""COMPUTED_VALUE"""),"Building a Winning Enterprise Marketing Strategy")</f>
        <v>Building a Winning Enterprise Marketing Strategy</v>
      </c>
      <c r="E58" s="147" t="str">
        <f>IFERROR(__xludf.DUMMYFUNCTION("""COMPUTED_VALUE"""),"General")</f>
        <v>General</v>
      </c>
      <c r="F58" s="141" t="str">
        <f>IFERROR(__xludf.DUMMYFUNCTION("""COMPUTED_VALUE"""),"Beginner")</f>
        <v>Beginner</v>
      </c>
      <c r="G58" s="143">
        <f>IFERROR(__xludf.DUMMYFUNCTION("""COMPUTED_VALUE"""),0.07653935185185186)</f>
        <v>0.07653935185</v>
      </c>
      <c r="H58" s="151"/>
      <c r="I58" s="140"/>
      <c r="J58" s="140"/>
      <c r="K58" s="140"/>
      <c r="L58" s="147">
        <f>IFERROR(__xludf.DUMMYFUNCTION("""COMPUTED_VALUE"""),2836022.0)</f>
        <v>2836022</v>
      </c>
      <c r="M58" s="150" t="str">
        <f>IFERROR(__xludf.DUMMYFUNCTION("""COMPUTED_VALUE"""),"Managing Innovation")</f>
        <v>Managing Innovation</v>
      </c>
      <c r="N58" s="147" t="str">
        <f>IFERROR(__xludf.DUMMYFUNCTION("""COMPUTED_VALUE"""),"General")</f>
        <v>General</v>
      </c>
      <c r="O58" s="141" t="str">
        <f>IFERROR(__xludf.DUMMYFUNCTION("""COMPUTED_VALUE"""),"Intermediate")</f>
        <v>Intermediate</v>
      </c>
      <c r="P58" s="143">
        <f>IFERROR(__xludf.DUMMYFUNCTION("""COMPUTED_VALUE"""),0.04055555555555555)</f>
        <v>0.04055555556</v>
      </c>
      <c r="Q58" s="151"/>
      <c r="R58" s="140"/>
      <c r="S58" s="140"/>
    </row>
    <row r="59" ht="33.75" customHeight="1">
      <c r="A59" s="140"/>
      <c r="B59" s="140"/>
      <c r="C59" s="147">
        <f>IFERROR(__xludf.DUMMYFUNCTION("""COMPUTED_VALUE"""),2824270.0)</f>
        <v>2824270</v>
      </c>
      <c r="D59" s="150" t="str">
        <f>IFERROR(__xludf.DUMMYFUNCTION("""COMPUTED_VALUE"""),"Marketing Foundations: Consumer Behavior")</f>
        <v>Marketing Foundations: Consumer Behavior</v>
      </c>
      <c r="E59" s="147" t="str">
        <f>IFERROR(__xludf.DUMMYFUNCTION("""COMPUTED_VALUE"""),"General")</f>
        <v>General</v>
      </c>
      <c r="F59" s="141" t="str">
        <f>IFERROR(__xludf.DUMMYFUNCTION("""COMPUTED_VALUE"""),"Beginner")</f>
        <v>Beginner</v>
      </c>
      <c r="G59" s="143">
        <f>IFERROR(__xludf.DUMMYFUNCTION("""COMPUTED_VALUE"""),0.02912037037037037)</f>
        <v>0.02912037037</v>
      </c>
      <c r="H59" s="151"/>
      <c r="I59" s="140"/>
      <c r="J59" s="140"/>
      <c r="K59" s="140"/>
      <c r="L59" s="147">
        <f>IFERROR(__xludf.DUMMYFUNCTION("""COMPUTED_VALUE"""),2837260.0)</f>
        <v>2837260</v>
      </c>
      <c r="M59" s="150" t="str">
        <f>IFERROR(__xludf.DUMMYFUNCTION("""COMPUTED_VALUE"""),"The Definitive Drucker (getAbstract Summary)")</f>
        <v>The Definitive Drucker (getAbstract Summary)</v>
      </c>
      <c r="N59" s="147" t="str">
        <f>IFERROR(__xludf.DUMMYFUNCTION("""COMPUTED_VALUE"""),"General")</f>
        <v>General</v>
      </c>
      <c r="O59" s="141" t="str">
        <f>IFERROR(__xludf.DUMMYFUNCTION("""COMPUTED_VALUE"""),"Intermediate")</f>
        <v>Intermediate</v>
      </c>
      <c r="P59" s="143">
        <f>IFERROR(__xludf.DUMMYFUNCTION("""COMPUTED_VALUE"""),0.006631944444444445)</f>
        <v>0.006631944444</v>
      </c>
      <c r="Q59" s="151"/>
      <c r="R59" s="140"/>
      <c r="S59" s="140"/>
    </row>
    <row r="60" ht="33.75" customHeight="1">
      <c r="A60" s="140"/>
      <c r="B60" s="140"/>
      <c r="C60" s="147">
        <f>IFERROR(__xludf.DUMMYFUNCTION("""COMPUTED_VALUE"""),2825620.0)</f>
        <v>2825620</v>
      </c>
      <c r="D60" s="150" t="str">
        <f>IFERROR(__xludf.DUMMYFUNCTION("""COMPUTED_VALUE"""),"Business Analytics: Marketing Data")</f>
        <v>Business Analytics: Marketing Data</v>
      </c>
      <c r="E60" s="147" t="str">
        <f>IFERROR(__xludf.DUMMYFUNCTION("""COMPUTED_VALUE"""),"General")</f>
        <v>General</v>
      </c>
      <c r="F60" s="141" t="str">
        <f>IFERROR(__xludf.DUMMYFUNCTION("""COMPUTED_VALUE"""),"Beginner")</f>
        <v>Beginner</v>
      </c>
      <c r="G60" s="143">
        <f>IFERROR(__xludf.DUMMYFUNCTION("""COMPUTED_VALUE"""),0.0240625)</f>
        <v>0.0240625</v>
      </c>
      <c r="H60" s="151"/>
      <c r="I60" s="140"/>
      <c r="J60" s="140"/>
      <c r="K60" s="140"/>
      <c r="L60" s="147"/>
      <c r="M60" s="159"/>
      <c r="N60" s="147"/>
      <c r="O60" s="141"/>
      <c r="P60" s="143"/>
      <c r="Q60" s="151"/>
      <c r="R60" s="140"/>
      <c r="S60" s="140"/>
    </row>
    <row r="61" ht="33.75" customHeight="1">
      <c r="A61" s="140"/>
      <c r="B61" s="140"/>
      <c r="C61" s="147">
        <f>IFERROR(__xludf.DUMMYFUNCTION("""COMPUTED_VALUE"""),2823572.0)</f>
        <v>2823572</v>
      </c>
      <c r="D61" s="150" t="str">
        <f>IFERROR(__xludf.DUMMYFUNCTION("""COMPUTED_VALUE"""),"Creating an Editorial Calendar")</f>
        <v>Creating an Editorial Calendar</v>
      </c>
      <c r="E61" s="147" t="str">
        <f>IFERROR(__xludf.DUMMYFUNCTION("""COMPUTED_VALUE"""),"General")</f>
        <v>General</v>
      </c>
      <c r="F61" s="141" t="str">
        <f>IFERROR(__xludf.DUMMYFUNCTION("""COMPUTED_VALUE"""),"Beginner")</f>
        <v>Beginner</v>
      </c>
      <c r="G61" s="143">
        <f>IFERROR(__xludf.DUMMYFUNCTION("""COMPUTED_VALUE"""),0.036284722222222225)</f>
        <v>0.03628472222</v>
      </c>
      <c r="H61" s="151"/>
      <c r="I61" s="140"/>
      <c r="J61" s="140"/>
      <c r="K61" s="140"/>
      <c r="L61" s="147"/>
      <c r="M61" s="159"/>
      <c r="N61" s="147"/>
      <c r="O61" s="141"/>
      <c r="P61" s="143"/>
      <c r="Q61" s="151"/>
      <c r="R61" s="140"/>
      <c r="S61" s="140"/>
    </row>
    <row r="62" ht="33.75" customHeight="1">
      <c r="A62" s="140"/>
      <c r="B62" s="140"/>
      <c r="C62" s="147">
        <f>IFERROR(__xludf.DUMMYFUNCTION("""COMPUTED_VALUE"""),2822696.0)</f>
        <v>2822696</v>
      </c>
      <c r="D62" s="150" t="str">
        <f>IFERROR(__xludf.DUMMYFUNCTION("""COMPUTED_VALUE"""),"Affiliate Marketing Foundations")</f>
        <v>Affiliate Marketing Foundations</v>
      </c>
      <c r="E62" s="147" t="str">
        <f>IFERROR(__xludf.DUMMYFUNCTION("""COMPUTED_VALUE"""),"General")</f>
        <v>General</v>
      </c>
      <c r="F62" s="141" t="str">
        <f>IFERROR(__xludf.DUMMYFUNCTION("""COMPUTED_VALUE"""),"Beginner")</f>
        <v>Beginner</v>
      </c>
      <c r="G62" s="143">
        <f>IFERROR(__xludf.DUMMYFUNCTION("""COMPUTED_VALUE"""),0.05475694444444444)</f>
        <v>0.05475694444</v>
      </c>
      <c r="H62" s="151"/>
      <c r="I62" s="140"/>
      <c r="J62" s="140"/>
      <c r="K62" s="140"/>
      <c r="L62" s="147"/>
      <c r="M62" s="159"/>
      <c r="N62" s="147"/>
      <c r="O62" s="141"/>
      <c r="P62" s="143"/>
      <c r="Q62" s="151"/>
      <c r="R62" s="140"/>
      <c r="S62" s="140"/>
    </row>
    <row r="63" ht="33.75" customHeight="1">
      <c r="A63" s="140"/>
      <c r="B63" s="140"/>
      <c r="C63" s="147">
        <f>IFERROR(__xludf.DUMMYFUNCTION("""COMPUTED_VALUE"""),2823594.0)</f>
        <v>2823594</v>
      </c>
      <c r="D63" s="150" t="str">
        <f>IFERROR(__xludf.DUMMYFUNCTION("""COMPUTED_VALUE"""),"Programmatic Advertising Foundations")</f>
        <v>Programmatic Advertising Foundations</v>
      </c>
      <c r="E63" s="147" t="str">
        <f>IFERROR(__xludf.DUMMYFUNCTION("""COMPUTED_VALUE"""),"General")</f>
        <v>General</v>
      </c>
      <c r="F63" s="141" t="str">
        <f>IFERROR(__xludf.DUMMYFUNCTION("""COMPUTED_VALUE"""),"Beginner")</f>
        <v>Beginner</v>
      </c>
      <c r="G63" s="143">
        <f>IFERROR(__xludf.DUMMYFUNCTION("""COMPUTED_VALUE"""),0.05158564814814815)</f>
        <v>0.05158564815</v>
      </c>
      <c r="H63" s="151"/>
      <c r="I63" s="140"/>
      <c r="J63" s="140"/>
      <c r="K63" s="140"/>
      <c r="L63" s="147"/>
      <c r="M63" s="159"/>
      <c r="N63" s="147"/>
      <c r="O63" s="141"/>
      <c r="P63" s="143"/>
      <c r="Q63" s="151"/>
      <c r="R63" s="140"/>
      <c r="S63" s="140"/>
    </row>
    <row r="64" ht="33.75" customHeight="1">
      <c r="A64" s="140"/>
      <c r="B64" s="140"/>
      <c r="C64" s="147">
        <f>IFERROR(__xludf.DUMMYFUNCTION("""COMPUTED_VALUE"""),2825707.0)</f>
        <v>2825707</v>
      </c>
      <c r="D64" s="150" t="str">
        <f>IFERROR(__xludf.DUMMYFUNCTION("""COMPUTED_VALUE"""),"International SEO")</f>
        <v>International SEO</v>
      </c>
      <c r="E64" s="147" t="str">
        <f>IFERROR(__xludf.DUMMYFUNCTION("""COMPUTED_VALUE"""),"General")</f>
        <v>General</v>
      </c>
      <c r="F64" s="141" t="str">
        <f>IFERROR(__xludf.DUMMYFUNCTION("""COMPUTED_VALUE"""),"Beginner")</f>
        <v>Beginner</v>
      </c>
      <c r="G64" s="143">
        <f>IFERROR(__xludf.DUMMYFUNCTION("""COMPUTED_VALUE"""),0.05939814814814815)</f>
        <v>0.05939814815</v>
      </c>
      <c r="H64" s="151"/>
      <c r="I64" s="140"/>
      <c r="J64" s="140"/>
      <c r="K64" s="140"/>
      <c r="L64" s="147"/>
      <c r="M64" s="159"/>
      <c r="N64" s="147"/>
      <c r="O64" s="141"/>
      <c r="P64" s="143"/>
      <c r="Q64" s="151"/>
      <c r="R64" s="140"/>
      <c r="S64" s="140"/>
    </row>
    <row r="65" ht="33.75" customHeight="1">
      <c r="A65" s="140"/>
      <c r="B65" s="140"/>
      <c r="C65" s="147">
        <f>IFERROR(__xludf.DUMMYFUNCTION("""COMPUTED_VALUE"""),2835091.0)</f>
        <v>2835091</v>
      </c>
      <c r="D65" s="150" t="str">
        <f>IFERROR(__xludf.DUMMYFUNCTION("""COMPUTED_VALUE"""),"Marketing: Customer Segmentation")</f>
        <v>Marketing: Customer Segmentation</v>
      </c>
      <c r="E65" s="147" t="str">
        <f>IFERROR(__xludf.DUMMYFUNCTION("""COMPUTED_VALUE"""),"General")</f>
        <v>General</v>
      </c>
      <c r="F65" s="141" t="str">
        <f>IFERROR(__xludf.DUMMYFUNCTION("""COMPUTED_VALUE"""),"Beginner")</f>
        <v>Beginner</v>
      </c>
      <c r="G65" s="143">
        <f>IFERROR(__xludf.DUMMYFUNCTION("""COMPUTED_VALUE"""),0.041041666666666664)</f>
        <v>0.04104166667</v>
      </c>
      <c r="H65" s="151"/>
      <c r="I65" s="140"/>
      <c r="J65" s="140"/>
      <c r="K65" s="140"/>
      <c r="L65" s="147"/>
      <c r="M65" s="159"/>
      <c r="N65" s="147"/>
      <c r="O65" s="141"/>
      <c r="P65" s="143"/>
      <c r="Q65" s="151"/>
      <c r="R65" s="140"/>
      <c r="S65" s="140"/>
    </row>
    <row r="66" ht="33.75" customHeight="1">
      <c r="A66" s="140"/>
      <c r="B66" s="140"/>
      <c r="C66" s="147">
        <f>IFERROR(__xludf.DUMMYFUNCTION("""COMPUTED_VALUE"""),2841308.0)</f>
        <v>2841308</v>
      </c>
      <c r="D66" s="150" t="str">
        <f>IFERROR(__xludf.DUMMYFUNCTION("""COMPUTED_VALUE"""),"Marketing on Facebook")</f>
        <v>Marketing on Facebook</v>
      </c>
      <c r="E66" s="147" t="str">
        <f>IFERROR(__xludf.DUMMYFUNCTION("""COMPUTED_VALUE"""),"General")</f>
        <v>General</v>
      </c>
      <c r="F66" s="141" t="str">
        <f>IFERROR(__xludf.DUMMYFUNCTION("""COMPUTED_VALUE"""),"Beginner")</f>
        <v>Beginner</v>
      </c>
      <c r="G66" s="143">
        <f>IFERROR(__xludf.DUMMYFUNCTION("""COMPUTED_VALUE"""),0.0665162037037037)</f>
        <v>0.0665162037</v>
      </c>
      <c r="H66" s="151"/>
      <c r="I66" s="140"/>
      <c r="J66" s="140"/>
      <c r="K66" s="140"/>
      <c r="L66" s="147"/>
      <c r="M66" s="159"/>
      <c r="N66" s="147"/>
      <c r="O66" s="141"/>
      <c r="P66" s="143"/>
      <c r="Q66" s="151"/>
      <c r="R66" s="140"/>
      <c r="S66" s="140"/>
    </row>
    <row r="67" ht="33.75" customHeight="1">
      <c r="A67" s="140"/>
      <c r="B67" s="140"/>
      <c r="C67" s="147">
        <f>IFERROR(__xludf.DUMMYFUNCTION("""COMPUTED_VALUE"""),2871157.0)</f>
        <v>2871157</v>
      </c>
      <c r="D67" s="150" t="str">
        <f>IFERROR(__xludf.DUMMYFUNCTION("""COMPUTED_VALUE"""),"Direct Mail Marketing")</f>
        <v>Direct Mail Marketing</v>
      </c>
      <c r="E67" s="147" t="str">
        <f>IFERROR(__xludf.DUMMYFUNCTION("""COMPUTED_VALUE"""),"General")</f>
        <v>General</v>
      </c>
      <c r="F67" s="141" t="str">
        <f>IFERROR(__xludf.DUMMYFUNCTION("""COMPUTED_VALUE"""),"Beginner")</f>
        <v>Beginner</v>
      </c>
      <c r="G67" s="143">
        <f>IFERROR(__xludf.DUMMYFUNCTION("""COMPUTED_VALUE"""),0.02375)</f>
        <v>0.02375</v>
      </c>
      <c r="H67" s="151"/>
      <c r="I67" s="140"/>
      <c r="J67" s="140"/>
      <c r="K67" s="140"/>
      <c r="L67" s="147"/>
      <c r="M67" s="159"/>
      <c r="N67" s="147"/>
      <c r="O67" s="141"/>
      <c r="P67" s="143"/>
      <c r="Q67" s="151"/>
      <c r="R67" s="140"/>
      <c r="S67" s="140"/>
    </row>
    <row r="68" ht="33.75" customHeight="1">
      <c r="A68" s="140"/>
      <c r="B68" s="140"/>
      <c r="C68" s="147">
        <f>IFERROR(__xludf.DUMMYFUNCTION("""COMPUTED_VALUE"""),2832068.0)</f>
        <v>2832068</v>
      </c>
      <c r="D68" s="150" t="str">
        <f>IFERROR(__xludf.DUMMYFUNCTION("""COMPUTED_VALUE"""),"Developing a YouTube Strategy")</f>
        <v>Developing a YouTube Strategy</v>
      </c>
      <c r="E68" s="147" t="str">
        <f>IFERROR(__xludf.DUMMYFUNCTION("""COMPUTED_VALUE"""),"General")</f>
        <v>General</v>
      </c>
      <c r="F68" s="141" t="str">
        <f>IFERROR(__xludf.DUMMYFUNCTION("""COMPUTED_VALUE"""),"Beginner")</f>
        <v>Beginner</v>
      </c>
      <c r="G68" s="143">
        <f>IFERROR(__xludf.DUMMYFUNCTION("""COMPUTED_VALUE"""),0.026226851851851852)</f>
        <v>0.02622685185</v>
      </c>
      <c r="H68" s="151"/>
      <c r="I68" s="140"/>
      <c r="J68" s="140"/>
      <c r="K68" s="140"/>
      <c r="L68" s="147"/>
      <c r="M68" s="159"/>
      <c r="N68" s="147"/>
      <c r="O68" s="141"/>
      <c r="P68" s="143"/>
      <c r="Q68" s="151"/>
      <c r="R68" s="140"/>
      <c r="S68" s="140"/>
    </row>
    <row r="69" ht="33.75" customHeight="1">
      <c r="A69" s="140"/>
      <c r="B69" s="140"/>
      <c r="C69" s="147">
        <f>IFERROR(__xludf.DUMMYFUNCTION("""COMPUTED_VALUE"""),2841614.0)</f>
        <v>2841614</v>
      </c>
      <c r="D69" s="150" t="str">
        <f>IFERROR(__xludf.DUMMYFUNCTION("""COMPUTED_VALUE"""),"Designing an Authentic Brand")</f>
        <v>Designing an Authentic Brand</v>
      </c>
      <c r="E69" s="147" t="str">
        <f>IFERROR(__xludf.DUMMYFUNCTION("""COMPUTED_VALUE"""),"General")</f>
        <v>General</v>
      </c>
      <c r="F69" s="141" t="str">
        <f>IFERROR(__xludf.DUMMYFUNCTION("""COMPUTED_VALUE"""),"Beginner")</f>
        <v>Beginner</v>
      </c>
      <c r="G69" s="143">
        <f>IFERROR(__xludf.DUMMYFUNCTION("""COMPUTED_VALUE"""),0.03436342592592593)</f>
        <v>0.03436342593</v>
      </c>
      <c r="H69" s="151"/>
      <c r="I69" s="140"/>
      <c r="J69" s="140"/>
      <c r="K69" s="140"/>
      <c r="L69" s="147"/>
      <c r="M69" s="159"/>
      <c r="N69" s="147"/>
      <c r="O69" s="141"/>
      <c r="P69" s="143"/>
      <c r="Q69" s="151"/>
      <c r="R69" s="140"/>
      <c r="S69" s="140"/>
    </row>
    <row r="70" ht="33.75" customHeight="1">
      <c r="A70" s="140"/>
      <c r="B70" s="140"/>
      <c r="C70" s="147">
        <f>IFERROR(__xludf.DUMMYFUNCTION("""COMPUTED_VALUE"""),2871077.0)</f>
        <v>2871077</v>
      </c>
      <c r="D70" s="150" t="str">
        <f>IFERROR(__xludf.DUMMYFUNCTION("""COMPUTED_VALUE"""),"Marketing on Twitter")</f>
        <v>Marketing on Twitter</v>
      </c>
      <c r="E70" s="147" t="str">
        <f>IFERROR(__xludf.DUMMYFUNCTION("""COMPUTED_VALUE"""),"General")</f>
        <v>General</v>
      </c>
      <c r="F70" s="141" t="str">
        <f>IFERROR(__xludf.DUMMYFUNCTION("""COMPUTED_VALUE"""),"Beginner")</f>
        <v>Beginner</v>
      </c>
      <c r="G70" s="143">
        <f>IFERROR(__xludf.DUMMYFUNCTION("""COMPUTED_VALUE"""),0.04787037037037037)</f>
        <v>0.04787037037</v>
      </c>
      <c r="H70" s="151"/>
      <c r="I70" s="140"/>
      <c r="J70" s="140"/>
      <c r="K70" s="140"/>
      <c r="L70" s="147"/>
      <c r="M70" s="159"/>
      <c r="N70" s="147"/>
      <c r="O70" s="141"/>
      <c r="P70" s="143"/>
      <c r="Q70" s="151"/>
      <c r="R70" s="140"/>
      <c r="S70" s="140"/>
    </row>
    <row r="71" ht="33.75" customHeight="1">
      <c r="A71" s="140"/>
      <c r="B71" s="140"/>
      <c r="C71" s="147">
        <f>IFERROR(__xludf.DUMMYFUNCTION("""COMPUTED_VALUE"""),2282152.0)</f>
        <v>2282152</v>
      </c>
      <c r="D71" s="150" t="str">
        <f>IFERROR(__xludf.DUMMYFUNCTION("""COMPUTED_VALUE"""),"International Marketing Foundations")</f>
        <v>International Marketing Foundations</v>
      </c>
      <c r="E71" s="147" t="str">
        <f>IFERROR(__xludf.DUMMYFUNCTION("""COMPUTED_VALUE"""),"General")</f>
        <v>General</v>
      </c>
      <c r="F71" s="141" t="str">
        <f>IFERROR(__xludf.DUMMYFUNCTION("""COMPUTED_VALUE"""),"Beginner")</f>
        <v>Beginner</v>
      </c>
      <c r="G71" s="143">
        <f>IFERROR(__xludf.DUMMYFUNCTION("""COMPUTED_VALUE"""),0.054224537037037036)</f>
        <v>0.05422453704</v>
      </c>
      <c r="H71" s="151"/>
      <c r="I71" s="140"/>
      <c r="J71" s="140"/>
      <c r="K71" s="140"/>
      <c r="L71" s="147"/>
      <c r="M71" s="159"/>
      <c r="N71" s="147"/>
      <c r="O71" s="141"/>
      <c r="P71" s="143"/>
      <c r="Q71" s="151"/>
      <c r="R71" s="140"/>
      <c r="S71" s="140"/>
    </row>
    <row r="72" ht="33.75" customHeight="1">
      <c r="A72" s="140"/>
      <c r="B72" s="140"/>
      <c r="C72" s="147">
        <f>IFERROR(__xludf.DUMMYFUNCTION("""COMPUTED_VALUE"""),2841524.0)</f>
        <v>2841524</v>
      </c>
      <c r="D72" s="150" t="str">
        <f>IFERROR(__xludf.DUMMYFUNCTION("""COMPUTED_VALUE"""),"Learning Logo Design")</f>
        <v>Learning Logo Design</v>
      </c>
      <c r="E72" s="147" t="str">
        <f>IFERROR(__xludf.DUMMYFUNCTION("""COMPUTED_VALUE"""),"General")</f>
        <v>General</v>
      </c>
      <c r="F72" s="141" t="str">
        <f>IFERROR(__xludf.DUMMYFUNCTION("""COMPUTED_VALUE"""),"Beginner")</f>
        <v>Beginner</v>
      </c>
      <c r="G72" s="143">
        <f>IFERROR(__xludf.DUMMYFUNCTION("""COMPUTED_VALUE"""),0.20560185185185184)</f>
        <v>0.2056018519</v>
      </c>
      <c r="H72" s="151"/>
      <c r="I72" s="140"/>
      <c r="J72" s="140"/>
      <c r="K72" s="140"/>
      <c r="L72" s="147"/>
      <c r="M72" s="159"/>
      <c r="N72" s="147"/>
      <c r="O72" s="141"/>
      <c r="P72" s="143"/>
      <c r="Q72" s="151"/>
      <c r="R72" s="140"/>
      <c r="S72" s="140"/>
    </row>
    <row r="73" ht="33.75" customHeight="1">
      <c r="A73" s="140"/>
      <c r="B73" s="140"/>
      <c r="C73" s="147">
        <f>IFERROR(__xludf.DUMMYFUNCTION("""COMPUTED_VALUE"""),2841621.0)</f>
        <v>2841621</v>
      </c>
      <c r="D73" s="150" t="str">
        <f>IFERROR(__xludf.DUMMYFUNCTION("""COMPUTED_VALUE"""),"Marketing Virtual Events")</f>
        <v>Marketing Virtual Events</v>
      </c>
      <c r="E73" s="147" t="str">
        <f>IFERROR(__xludf.DUMMYFUNCTION("""COMPUTED_VALUE"""),"General")</f>
        <v>General</v>
      </c>
      <c r="F73" s="141" t="str">
        <f>IFERROR(__xludf.DUMMYFUNCTION("""COMPUTED_VALUE"""),"Beginner")</f>
        <v>Beginner</v>
      </c>
      <c r="G73" s="143">
        <f>IFERROR(__xludf.DUMMYFUNCTION("""COMPUTED_VALUE"""),0.026203703703703705)</f>
        <v>0.0262037037</v>
      </c>
      <c r="H73" s="151"/>
      <c r="I73" s="140"/>
      <c r="J73" s="140"/>
      <c r="K73" s="140"/>
      <c r="L73" s="147"/>
      <c r="M73" s="159"/>
      <c r="N73" s="147"/>
      <c r="O73" s="141"/>
      <c r="P73" s="143"/>
      <c r="Q73" s="151"/>
      <c r="R73" s="140"/>
      <c r="S73" s="140"/>
    </row>
    <row r="74" ht="33.75" customHeight="1">
      <c r="A74" s="140"/>
      <c r="B74" s="140"/>
      <c r="C74" s="147">
        <f>IFERROR(__xludf.DUMMYFUNCTION("""COMPUTED_VALUE"""),2871132.0)</f>
        <v>2871132</v>
      </c>
      <c r="D74" s="150" t="str">
        <f>IFERROR(__xludf.DUMMYFUNCTION("""COMPUTED_VALUE"""),"The 22 Immutable Laws of Branding (Blinkist Summary)")</f>
        <v>The 22 Immutable Laws of Branding (Blinkist Summary)</v>
      </c>
      <c r="E74" s="147" t="str">
        <f>IFERROR(__xludf.DUMMYFUNCTION("""COMPUTED_VALUE"""),"General")</f>
        <v>General</v>
      </c>
      <c r="F74" s="141" t="str">
        <f>IFERROR(__xludf.DUMMYFUNCTION("""COMPUTED_VALUE"""),"Beginner")</f>
        <v>Beginner</v>
      </c>
      <c r="G74" s="143">
        <f>IFERROR(__xludf.DUMMYFUNCTION("""COMPUTED_VALUE"""),0.017627314814814814)</f>
        <v>0.01762731481</v>
      </c>
      <c r="H74" s="151"/>
      <c r="I74" s="140"/>
      <c r="J74" s="140"/>
      <c r="K74" s="140"/>
      <c r="L74" s="147"/>
      <c r="M74" s="159"/>
      <c r="N74" s="147"/>
      <c r="O74" s="141"/>
      <c r="P74" s="143"/>
      <c r="Q74" s="151"/>
      <c r="R74" s="140"/>
      <c r="S74" s="140"/>
    </row>
    <row r="75" ht="33.75" customHeight="1">
      <c r="A75" s="140"/>
      <c r="B75" s="140"/>
      <c r="C75" s="147">
        <f>IFERROR(__xludf.DUMMYFUNCTION("""COMPUTED_VALUE"""),2873325.0)</f>
        <v>2873325</v>
      </c>
      <c r="D75" s="150" t="str">
        <f>IFERROR(__xludf.DUMMYFUNCTION("""COMPUTED_VALUE"""),"How to Build a Following Online")</f>
        <v>How to Build a Following Online</v>
      </c>
      <c r="E75" s="147" t="str">
        <f>IFERROR(__xludf.DUMMYFUNCTION("""COMPUTED_VALUE"""),"General")</f>
        <v>General</v>
      </c>
      <c r="F75" s="141" t="str">
        <f>IFERROR(__xludf.DUMMYFUNCTION("""COMPUTED_VALUE"""),"Beginner")</f>
        <v>Beginner</v>
      </c>
      <c r="G75" s="143">
        <f>IFERROR(__xludf.DUMMYFUNCTION("""COMPUTED_VALUE"""),0.03275462962962963)</f>
        <v>0.03275462963</v>
      </c>
      <c r="H75" s="151"/>
      <c r="I75" s="140"/>
      <c r="J75" s="140"/>
      <c r="K75" s="140"/>
      <c r="L75" s="147"/>
      <c r="M75" s="159"/>
      <c r="N75" s="147"/>
      <c r="O75" s="141"/>
      <c r="P75" s="143"/>
      <c r="Q75" s="151"/>
      <c r="R75" s="140"/>
      <c r="S75" s="140"/>
    </row>
    <row r="76" ht="33.75" customHeight="1">
      <c r="A76" s="140"/>
      <c r="B76" s="140"/>
      <c r="C76" s="147">
        <f>IFERROR(__xludf.DUMMYFUNCTION("""COMPUTED_VALUE"""),2874334.0)</f>
        <v>2874334</v>
      </c>
      <c r="D76" s="150" t="str">
        <f>IFERROR(__xludf.DUMMYFUNCTION("""COMPUTED_VALUE"""),"Marketing Tools: Social Media")</f>
        <v>Marketing Tools: Social Media</v>
      </c>
      <c r="E76" s="147" t="str">
        <f>IFERROR(__xludf.DUMMYFUNCTION("""COMPUTED_VALUE"""),"General")</f>
        <v>General</v>
      </c>
      <c r="F76" s="141" t="str">
        <f>IFERROR(__xludf.DUMMYFUNCTION("""COMPUTED_VALUE"""),"Beginner")</f>
        <v>Beginner</v>
      </c>
      <c r="G76" s="143">
        <f>IFERROR(__xludf.DUMMYFUNCTION("""COMPUTED_VALUE"""),0.055671296296296295)</f>
        <v>0.0556712963</v>
      </c>
      <c r="H76" s="151"/>
      <c r="I76" s="140"/>
      <c r="J76" s="140"/>
      <c r="K76" s="140"/>
      <c r="L76" s="147"/>
      <c r="M76" s="159"/>
      <c r="N76" s="147"/>
      <c r="O76" s="141"/>
      <c r="P76" s="143"/>
      <c r="Q76" s="151"/>
      <c r="R76" s="140"/>
      <c r="S76" s="140"/>
    </row>
    <row r="77" ht="33.75" customHeight="1">
      <c r="A77" s="140"/>
      <c r="B77" s="140"/>
      <c r="C77" s="147">
        <f>IFERROR(__xludf.DUMMYFUNCTION("""COMPUTED_VALUE"""),2875203.0)</f>
        <v>2875203</v>
      </c>
      <c r="D77" s="150" t="str">
        <f>IFERROR(__xludf.DUMMYFUNCTION("""COMPUTED_VALUE"""),"Learning Local SEO")</f>
        <v>Learning Local SEO</v>
      </c>
      <c r="E77" s="147" t="str">
        <f>IFERROR(__xludf.DUMMYFUNCTION("""COMPUTED_VALUE"""),"General")</f>
        <v>General</v>
      </c>
      <c r="F77" s="141" t="str">
        <f>IFERROR(__xludf.DUMMYFUNCTION("""COMPUTED_VALUE"""),"Beginner")</f>
        <v>Beginner</v>
      </c>
      <c r="G77" s="143">
        <f>IFERROR(__xludf.DUMMYFUNCTION("""COMPUTED_VALUE"""),0.061875)</f>
        <v>0.061875</v>
      </c>
      <c r="H77" s="151"/>
      <c r="I77" s="140"/>
      <c r="J77" s="140"/>
      <c r="K77" s="140"/>
      <c r="L77" s="147"/>
      <c r="M77" s="159"/>
      <c r="N77" s="147"/>
      <c r="O77" s="141"/>
      <c r="P77" s="143"/>
      <c r="Q77" s="151"/>
      <c r="R77" s="140"/>
      <c r="S77" s="140"/>
    </row>
    <row r="78" ht="33.75" customHeight="1">
      <c r="A78" s="140"/>
      <c r="B78" s="140"/>
      <c r="C78" s="147">
        <f>IFERROR(__xludf.DUMMYFUNCTION("""COMPUTED_VALUE"""),2884123.0)</f>
        <v>2884123</v>
      </c>
      <c r="D78" s="150" t="str">
        <f>IFERROR(__xludf.DUMMYFUNCTION("""COMPUTED_VALUE"""),"Learning Instagram")</f>
        <v>Learning Instagram</v>
      </c>
      <c r="E78" s="147" t="str">
        <f>IFERROR(__xludf.DUMMYFUNCTION("""COMPUTED_VALUE"""),"General")</f>
        <v>General</v>
      </c>
      <c r="F78" s="141" t="str">
        <f>IFERROR(__xludf.DUMMYFUNCTION("""COMPUTED_VALUE"""),"Beginner")</f>
        <v>Beginner</v>
      </c>
      <c r="G78" s="143">
        <f>IFERROR(__xludf.DUMMYFUNCTION("""COMPUTED_VALUE"""),0.0478125)</f>
        <v>0.0478125</v>
      </c>
      <c r="H78" s="151"/>
      <c r="I78" s="140"/>
      <c r="J78" s="140"/>
      <c r="K78" s="140"/>
      <c r="L78" s="147"/>
      <c r="M78" s="159"/>
      <c r="N78" s="147"/>
      <c r="O78" s="141"/>
      <c r="P78" s="143"/>
      <c r="Q78" s="151"/>
      <c r="R78" s="140"/>
      <c r="S78" s="140"/>
    </row>
    <row r="79" ht="33.75" customHeight="1">
      <c r="A79" s="140"/>
      <c r="B79" s="140"/>
      <c r="C79" s="147">
        <f>IFERROR(__xludf.DUMMYFUNCTION("""COMPUTED_VALUE"""),2883053.0)</f>
        <v>2883053</v>
      </c>
      <c r="D79" s="150" t="str">
        <f>IFERROR(__xludf.DUMMYFUNCTION("""COMPUTED_VALUE"""),"Jump-Start Your LinkedIn Live Channel")</f>
        <v>Jump-Start Your LinkedIn Live Channel</v>
      </c>
      <c r="E79" s="147" t="str">
        <f>IFERROR(__xludf.DUMMYFUNCTION("""COMPUTED_VALUE"""),"General")</f>
        <v>General</v>
      </c>
      <c r="F79" s="141" t="str">
        <f>IFERROR(__xludf.DUMMYFUNCTION("""COMPUTED_VALUE"""),"Beginner")</f>
        <v>Beginner</v>
      </c>
      <c r="G79" s="143">
        <f>IFERROR(__xludf.DUMMYFUNCTION("""COMPUTED_VALUE"""),0.02621527777777778)</f>
        <v>0.02621527778</v>
      </c>
      <c r="H79" s="151"/>
      <c r="I79" s="140"/>
      <c r="J79" s="140"/>
      <c r="K79" s="140"/>
      <c r="L79" s="147"/>
      <c r="M79" s="159"/>
      <c r="N79" s="147"/>
      <c r="O79" s="141"/>
      <c r="P79" s="143"/>
      <c r="Q79" s="151"/>
      <c r="R79" s="140"/>
      <c r="S79" s="140"/>
    </row>
    <row r="80" ht="33.75" customHeight="1">
      <c r="A80" s="140"/>
      <c r="B80" s="140"/>
      <c r="C80" s="147">
        <f>IFERROR(__xludf.DUMMYFUNCTION("""COMPUTED_VALUE"""),2894046.0)</f>
        <v>2894046</v>
      </c>
      <c r="D80" s="150" t="str">
        <f>IFERROR(__xludf.DUMMYFUNCTION("""COMPUTED_VALUE"""),"Marketing: Messaging with Purpose")</f>
        <v>Marketing: Messaging with Purpose</v>
      </c>
      <c r="E80" s="147" t="str">
        <f>IFERROR(__xludf.DUMMYFUNCTION("""COMPUTED_VALUE"""),"General")</f>
        <v>General</v>
      </c>
      <c r="F80" s="141" t="str">
        <f>IFERROR(__xludf.DUMMYFUNCTION("""COMPUTED_VALUE"""),"Beginner")</f>
        <v>Beginner</v>
      </c>
      <c r="G80" s="143">
        <f>IFERROR(__xludf.DUMMYFUNCTION("""COMPUTED_VALUE"""),0.008101851851851851)</f>
        <v>0.008101851852</v>
      </c>
      <c r="H80" s="151"/>
      <c r="I80" s="140"/>
      <c r="J80" s="140"/>
      <c r="K80" s="140"/>
      <c r="L80" s="147"/>
      <c r="M80" s="159"/>
      <c r="N80" s="147"/>
      <c r="O80" s="141"/>
      <c r="P80" s="143"/>
      <c r="Q80" s="151"/>
      <c r="R80" s="140"/>
      <c r="S80" s="140"/>
    </row>
    <row r="81" ht="33.75" customHeight="1">
      <c r="A81" s="140"/>
      <c r="B81" s="140"/>
      <c r="C81" s="147">
        <f>IFERROR(__xludf.DUMMYFUNCTION("""COMPUTED_VALUE"""),2886062.0)</f>
        <v>2886062</v>
      </c>
      <c r="D81" s="150" t="str">
        <f>IFERROR(__xludf.DUMMYFUNCTION("""COMPUTED_VALUE"""),"Getting Started with Facebook Shop for Creators")</f>
        <v>Getting Started with Facebook Shop for Creators</v>
      </c>
      <c r="E81" s="147" t="str">
        <f>IFERROR(__xludf.DUMMYFUNCTION("""COMPUTED_VALUE"""),"General")</f>
        <v>General</v>
      </c>
      <c r="F81" s="141" t="str">
        <f>IFERROR(__xludf.DUMMYFUNCTION("""COMPUTED_VALUE"""),"Beginner")</f>
        <v>Beginner</v>
      </c>
      <c r="G81" s="143">
        <f>IFERROR(__xludf.DUMMYFUNCTION("""COMPUTED_VALUE"""),0.011967592592592592)</f>
        <v>0.01196759259</v>
      </c>
      <c r="H81" s="151"/>
      <c r="I81" s="140"/>
      <c r="J81" s="140"/>
      <c r="K81" s="140"/>
      <c r="L81" s="147"/>
      <c r="M81" s="159"/>
      <c r="N81" s="147"/>
      <c r="O81" s="141"/>
      <c r="P81" s="143"/>
      <c r="Q81" s="151"/>
      <c r="R81" s="140"/>
      <c r="S81" s="140"/>
    </row>
    <row r="82" ht="33.75" customHeight="1">
      <c r="A82" s="140"/>
      <c r="B82" s="140"/>
      <c r="C82" s="147">
        <f>IFERROR(__xludf.DUMMYFUNCTION("""COMPUTED_VALUE"""),2882060.0)</f>
        <v>2882060</v>
      </c>
      <c r="D82" s="150" t="str">
        <f>IFERROR(__xludf.DUMMYFUNCTION("""COMPUTED_VALUE"""),"Building and Engaging with Your Online Following for Creators")</f>
        <v>Building and Engaging with Your Online Following for Creators</v>
      </c>
      <c r="E82" s="147" t="str">
        <f>IFERROR(__xludf.DUMMYFUNCTION("""COMPUTED_VALUE"""),"General")</f>
        <v>General</v>
      </c>
      <c r="F82" s="141" t="str">
        <f>IFERROR(__xludf.DUMMYFUNCTION("""COMPUTED_VALUE"""),"Beginner")</f>
        <v>Beginner</v>
      </c>
      <c r="G82" s="143">
        <f>IFERROR(__xludf.DUMMYFUNCTION("""COMPUTED_VALUE"""),0.022256944444444444)</f>
        <v>0.02225694444</v>
      </c>
      <c r="H82" s="151"/>
      <c r="I82" s="140"/>
      <c r="J82" s="140"/>
      <c r="K82" s="140"/>
      <c r="L82" s="147"/>
      <c r="M82" s="159"/>
      <c r="N82" s="147"/>
      <c r="O82" s="141"/>
      <c r="P82" s="143"/>
      <c r="Q82" s="151"/>
      <c r="R82" s="140"/>
      <c r="S82" s="140"/>
    </row>
    <row r="83" ht="33.75" customHeight="1">
      <c r="A83" s="140"/>
      <c r="B83" s="140"/>
      <c r="C83" s="147">
        <f>IFERROR(__xludf.DUMMYFUNCTION("""COMPUTED_VALUE"""),2422613.0)</f>
        <v>2422613</v>
      </c>
      <c r="D83" s="150" t="str">
        <f>IFERROR(__xludf.DUMMYFUNCTION("""COMPUTED_VALUE"""),"Advertising on Instagram")</f>
        <v>Advertising on Instagram</v>
      </c>
      <c r="E83" s="147" t="str">
        <f>IFERROR(__xludf.DUMMYFUNCTION("""COMPUTED_VALUE"""),"General")</f>
        <v>General</v>
      </c>
      <c r="F83" s="141" t="str">
        <f>IFERROR(__xludf.DUMMYFUNCTION("""COMPUTED_VALUE"""),"Beginner")</f>
        <v>Beginner</v>
      </c>
      <c r="G83" s="143">
        <f>IFERROR(__xludf.DUMMYFUNCTION("""COMPUTED_VALUE"""),0.04521990740740741)</f>
        <v>0.04521990741</v>
      </c>
      <c r="H83" s="151"/>
      <c r="I83" s="140"/>
      <c r="J83" s="140"/>
      <c r="K83" s="140"/>
      <c r="L83" s="147"/>
      <c r="M83" s="159"/>
      <c r="N83" s="147"/>
      <c r="O83" s="141"/>
      <c r="P83" s="143"/>
      <c r="Q83" s="151"/>
      <c r="R83" s="140"/>
      <c r="S83" s="140"/>
    </row>
    <row r="84" ht="33.75" customHeight="1">
      <c r="A84" s="140"/>
      <c r="B84" s="140"/>
      <c r="C84" s="147">
        <f>IFERROR(__xludf.DUMMYFUNCTION("""COMPUTED_VALUE"""),2425484.0)</f>
        <v>2425484</v>
      </c>
      <c r="D84" s="150" t="str">
        <f>IFERROR(__xludf.DUMMYFUNCTION("""COMPUTED_VALUE"""),"Marketing Tools: Automation")</f>
        <v>Marketing Tools: Automation</v>
      </c>
      <c r="E84" s="147" t="str">
        <f>IFERROR(__xludf.DUMMYFUNCTION("""COMPUTED_VALUE"""),"General")</f>
        <v>General</v>
      </c>
      <c r="F84" s="141" t="str">
        <f>IFERROR(__xludf.DUMMYFUNCTION("""COMPUTED_VALUE"""),"Beginner")</f>
        <v>Beginner</v>
      </c>
      <c r="G84" s="143">
        <f>IFERROR(__xludf.DUMMYFUNCTION("""COMPUTED_VALUE"""),0.05431712962962963)</f>
        <v>0.05431712963</v>
      </c>
      <c r="H84" s="151"/>
      <c r="I84" s="140"/>
      <c r="J84" s="140"/>
      <c r="K84" s="140"/>
      <c r="L84" s="147"/>
      <c r="M84" s="159"/>
      <c r="N84" s="147"/>
      <c r="O84" s="141"/>
      <c r="P84" s="143"/>
      <c r="Q84" s="151"/>
      <c r="R84" s="140"/>
      <c r="S84" s="140"/>
    </row>
    <row r="85" ht="33.75" customHeight="1">
      <c r="A85" s="140"/>
      <c r="B85" s="140"/>
      <c r="C85" s="147">
        <f>IFERROR(__xludf.DUMMYFUNCTION("""COMPUTED_VALUE"""),2884067.0)</f>
        <v>2884067</v>
      </c>
      <c r="D85" s="150" t="str">
        <f>IFERROR(__xludf.DUMMYFUNCTION("""COMPUTED_VALUE"""),"Jump-Start Your Twitch Channel")</f>
        <v>Jump-Start Your Twitch Channel</v>
      </c>
      <c r="E85" s="147" t="str">
        <f>IFERROR(__xludf.DUMMYFUNCTION("""COMPUTED_VALUE"""),"General")</f>
        <v>General</v>
      </c>
      <c r="F85" s="141" t="str">
        <f>IFERROR(__xludf.DUMMYFUNCTION("""COMPUTED_VALUE"""),"Beginner")</f>
        <v>Beginner</v>
      </c>
      <c r="G85" s="143">
        <f>IFERROR(__xludf.DUMMYFUNCTION("""COMPUTED_VALUE"""),0.031967592592592596)</f>
        <v>0.03196759259</v>
      </c>
      <c r="H85" s="151"/>
      <c r="I85" s="140"/>
      <c r="J85" s="140"/>
      <c r="K85" s="140"/>
      <c r="L85" s="147"/>
      <c r="M85" s="159"/>
      <c r="N85" s="147"/>
      <c r="O85" s="141"/>
      <c r="P85" s="143"/>
      <c r="Q85" s="151"/>
      <c r="R85" s="140"/>
      <c r="S85" s="140"/>
    </row>
    <row r="86" ht="33.75" customHeight="1">
      <c r="A86" s="140"/>
      <c r="B86" s="140"/>
      <c r="C86" s="147">
        <f>IFERROR(__xludf.DUMMYFUNCTION("""COMPUTED_VALUE"""),2885052.0)</f>
        <v>2885052</v>
      </c>
      <c r="D86" s="150" t="str">
        <f>IFERROR(__xludf.DUMMYFUNCTION("""COMPUTED_VALUE"""),"Building an Audience on Instagram for Creators")</f>
        <v>Building an Audience on Instagram for Creators</v>
      </c>
      <c r="E86" s="147" t="str">
        <f>IFERROR(__xludf.DUMMYFUNCTION("""COMPUTED_VALUE"""),"General")</f>
        <v>General</v>
      </c>
      <c r="F86" s="141" t="str">
        <f>IFERROR(__xludf.DUMMYFUNCTION("""COMPUTED_VALUE"""),"Beginner")</f>
        <v>Beginner</v>
      </c>
      <c r="G86" s="143">
        <f>IFERROR(__xludf.DUMMYFUNCTION("""COMPUTED_VALUE"""),0.022291666666666668)</f>
        <v>0.02229166667</v>
      </c>
      <c r="H86" s="151"/>
      <c r="I86" s="140"/>
      <c r="J86" s="140"/>
      <c r="K86" s="140"/>
      <c r="L86" s="147"/>
      <c r="M86" s="159"/>
      <c r="N86" s="147"/>
      <c r="O86" s="141"/>
      <c r="P86" s="143"/>
      <c r="Q86" s="151"/>
      <c r="R86" s="140"/>
      <c r="S86" s="140"/>
    </row>
    <row r="87" ht="33.75" customHeight="1">
      <c r="A87" s="140"/>
      <c r="B87" s="140"/>
      <c r="C87" s="147">
        <f>IFERROR(__xludf.DUMMYFUNCTION("""COMPUTED_VALUE"""),2885053.0)</f>
        <v>2885053</v>
      </c>
      <c r="D87" s="150" t="str">
        <f>IFERROR(__xludf.DUMMYFUNCTION("""COMPUTED_VALUE"""),"Making Money with Branded Content for Creators")</f>
        <v>Making Money with Branded Content for Creators</v>
      </c>
      <c r="E87" s="147" t="str">
        <f>IFERROR(__xludf.DUMMYFUNCTION("""COMPUTED_VALUE"""),"General")</f>
        <v>General</v>
      </c>
      <c r="F87" s="141" t="str">
        <f>IFERROR(__xludf.DUMMYFUNCTION("""COMPUTED_VALUE"""),"Beginner")</f>
        <v>Beginner</v>
      </c>
      <c r="G87" s="143">
        <f>IFERROR(__xludf.DUMMYFUNCTION("""COMPUTED_VALUE"""),0.02784722222222222)</f>
        <v>0.02784722222</v>
      </c>
      <c r="H87" s="151"/>
      <c r="I87" s="140"/>
      <c r="J87" s="140"/>
      <c r="K87" s="140"/>
      <c r="L87" s="147"/>
      <c r="M87" s="159"/>
      <c r="N87" s="147"/>
      <c r="O87" s="141"/>
      <c r="P87" s="143"/>
      <c r="Q87" s="151"/>
      <c r="R87" s="140"/>
      <c r="S87" s="140"/>
    </row>
    <row r="88" ht="33.75" customHeight="1">
      <c r="A88" s="140"/>
      <c r="B88" s="140"/>
      <c r="C88" s="147">
        <f>IFERROR(__xludf.DUMMYFUNCTION("""COMPUTED_VALUE"""),3000143.0)</f>
        <v>3000143</v>
      </c>
      <c r="D88" s="150" t="str">
        <f>IFERROR(__xludf.DUMMYFUNCTION("""COMPUTED_VALUE"""),"Marketing Foundations: Analytics")</f>
        <v>Marketing Foundations: Analytics</v>
      </c>
      <c r="E88" s="147" t="str">
        <f>IFERROR(__xludf.DUMMYFUNCTION("""COMPUTED_VALUE"""),"General")</f>
        <v>General</v>
      </c>
      <c r="F88" s="141" t="str">
        <f>IFERROR(__xludf.DUMMYFUNCTION("""COMPUTED_VALUE"""),"Beginner")</f>
        <v>Beginner</v>
      </c>
      <c r="G88" s="143">
        <f>IFERROR(__xludf.DUMMYFUNCTION("""COMPUTED_VALUE"""),0.04349537037037037)</f>
        <v>0.04349537037</v>
      </c>
      <c r="H88" s="151"/>
      <c r="I88" s="140"/>
      <c r="J88" s="140"/>
      <c r="K88" s="140"/>
      <c r="L88" s="147"/>
      <c r="M88" s="159"/>
      <c r="N88" s="147"/>
      <c r="O88" s="141"/>
      <c r="P88" s="143"/>
      <c r="Q88" s="151"/>
      <c r="R88" s="140"/>
      <c r="S88" s="140"/>
    </row>
    <row r="89" ht="33.75" customHeight="1">
      <c r="A89" s="140"/>
      <c r="B89" s="140"/>
      <c r="C89" s="147">
        <f>IFERROR(__xludf.DUMMYFUNCTION("""COMPUTED_VALUE"""),3003657.0)</f>
        <v>3003657</v>
      </c>
      <c r="D89" s="150" t="str">
        <f>IFERROR(__xludf.DUMMYFUNCTION("""COMPUTED_VALUE"""),"Diversity and Inclusion in Marketing: Inclusive Language for Marketers")</f>
        <v>Diversity and Inclusion in Marketing: Inclusive Language for Marketers</v>
      </c>
      <c r="E89" s="147" t="str">
        <f>IFERROR(__xludf.DUMMYFUNCTION("""COMPUTED_VALUE"""),"General")</f>
        <v>General</v>
      </c>
      <c r="F89" s="141" t="str">
        <f>IFERROR(__xludf.DUMMYFUNCTION("""COMPUTED_VALUE"""),"Beginner")</f>
        <v>Beginner</v>
      </c>
      <c r="G89" s="143">
        <f>IFERROR(__xludf.DUMMYFUNCTION("""COMPUTED_VALUE"""),0.020196759259259258)</f>
        <v>0.02019675926</v>
      </c>
      <c r="H89" s="151"/>
      <c r="I89" s="140"/>
      <c r="J89" s="140"/>
      <c r="K89" s="140"/>
      <c r="L89" s="147"/>
      <c r="M89" s="159"/>
      <c r="N89" s="147"/>
      <c r="O89" s="141"/>
      <c r="P89" s="143"/>
      <c r="Q89" s="151"/>
      <c r="R89" s="140"/>
      <c r="S89" s="140"/>
    </row>
    <row r="90" ht="33.75" customHeight="1">
      <c r="A90" s="140"/>
      <c r="B90" s="140"/>
      <c r="C90" s="147">
        <f>IFERROR(__xludf.DUMMYFUNCTION("""COMPUTED_VALUE"""),3004107.0)</f>
        <v>3004107</v>
      </c>
      <c r="D90" s="150" t="str">
        <f>IFERROR(__xludf.DUMMYFUNCTION("""COMPUTED_VALUE"""),"LinkedIn Creator Mode")</f>
        <v>LinkedIn Creator Mode</v>
      </c>
      <c r="E90" s="147" t="str">
        <f>IFERROR(__xludf.DUMMYFUNCTION("""COMPUTED_VALUE"""),"General")</f>
        <v>General</v>
      </c>
      <c r="F90" s="141" t="str">
        <f>IFERROR(__xludf.DUMMYFUNCTION("""COMPUTED_VALUE"""),"Beginner")</f>
        <v>Beginner</v>
      </c>
      <c r="G90" s="143">
        <f>IFERROR(__xludf.DUMMYFUNCTION("""COMPUTED_VALUE"""),0.011666666666666667)</f>
        <v>0.01166666667</v>
      </c>
      <c r="H90" s="151"/>
      <c r="I90" s="140"/>
      <c r="J90" s="140"/>
      <c r="K90" s="140"/>
      <c r="L90" s="147"/>
      <c r="M90" s="159"/>
      <c r="N90" s="147"/>
      <c r="O90" s="141"/>
      <c r="P90" s="143"/>
      <c r="Q90" s="151"/>
      <c r="R90" s="140"/>
      <c r="S90" s="140"/>
    </row>
    <row r="91" ht="33.75" customHeight="1">
      <c r="A91" s="140"/>
      <c r="B91" s="140"/>
      <c r="C91" s="147">
        <f>IFERROR(__xludf.DUMMYFUNCTION("""COMPUTED_VALUE"""),3156787.0)</f>
        <v>3156787</v>
      </c>
      <c r="D91" s="150" t="str">
        <f>IFERROR(__xludf.DUMMYFUNCTION("""COMPUTED_VALUE"""),"Advertising on Facebook")</f>
        <v>Advertising on Facebook</v>
      </c>
      <c r="E91" s="147" t="str">
        <f>IFERROR(__xludf.DUMMYFUNCTION("""COMPUTED_VALUE"""),"General")</f>
        <v>General</v>
      </c>
      <c r="F91" s="141" t="str">
        <f>IFERROR(__xludf.DUMMYFUNCTION("""COMPUTED_VALUE"""),"Beginner")</f>
        <v>Beginner</v>
      </c>
      <c r="G91" s="143">
        <f>IFERROR(__xludf.DUMMYFUNCTION("""COMPUTED_VALUE"""),0.06221064814814815)</f>
        <v>0.06221064815</v>
      </c>
      <c r="H91" s="151"/>
      <c r="I91" s="140"/>
      <c r="J91" s="140"/>
      <c r="K91" s="140"/>
      <c r="L91" s="147"/>
      <c r="M91" s="159"/>
      <c r="N91" s="147"/>
      <c r="O91" s="141"/>
      <c r="P91" s="143"/>
      <c r="Q91" s="151"/>
      <c r="R91" s="140"/>
      <c r="S91" s="140"/>
    </row>
    <row r="92" ht="33.75" customHeight="1">
      <c r="A92" s="140"/>
      <c r="B92" s="140"/>
      <c r="C92" s="147">
        <f>IFERROR(__xludf.DUMMYFUNCTION("""COMPUTED_VALUE"""),2423855.0)</f>
        <v>2423855</v>
      </c>
      <c r="D92" s="150" t="str">
        <f>IFERROR(__xludf.DUMMYFUNCTION("""COMPUTED_VALUE"""),"Content Marketing: Online Reviews in Social Media")</f>
        <v>Content Marketing: Online Reviews in Social Media</v>
      </c>
      <c r="E92" s="147" t="str">
        <f>IFERROR(__xludf.DUMMYFUNCTION("""COMPUTED_VALUE"""),"General")</f>
        <v>General</v>
      </c>
      <c r="F92" s="141" t="str">
        <f>IFERROR(__xludf.DUMMYFUNCTION("""COMPUTED_VALUE"""),"Beginner")</f>
        <v>Beginner</v>
      </c>
      <c r="G92" s="143">
        <f>IFERROR(__xludf.DUMMYFUNCTION("""COMPUTED_VALUE"""),0.040081018518518516)</f>
        <v>0.04008101852</v>
      </c>
      <c r="H92" s="151"/>
      <c r="I92" s="140"/>
      <c r="J92" s="140"/>
      <c r="K92" s="140"/>
      <c r="L92" s="147"/>
      <c r="M92" s="159"/>
      <c r="N92" s="147"/>
      <c r="O92" s="141"/>
      <c r="P92" s="143"/>
      <c r="Q92" s="151"/>
      <c r="R92" s="140"/>
      <c r="S92" s="140"/>
    </row>
    <row r="93" ht="33.75" customHeight="1">
      <c r="A93" s="140"/>
      <c r="B93" s="140"/>
      <c r="C93" s="147">
        <f>IFERROR(__xludf.DUMMYFUNCTION("""COMPUTED_VALUE"""),3003222.0)</f>
        <v>3003222</v>
      </c>
      <c r="D93" s="150" t="str">
        <f>IFERROR(__xludf.DUMMYFUNCTION("""COMPUTED_VALUE"""),"Marketing Foundations: Ecommerce")</f>
        <v>Marketing Foundations: Ecommerce</v>
      </c>
      <c r="E93" s="147" t="str">
        <f>IFERROR(__xludf.DUMMYFUNCTION("""COMPUTED_VALUE"""),"General")</f>
        <v>General</v>
      </c>
      <c r="F93" s="141" t="str">
        <f>IFERROR(__xludf.DUMMYFUNCTION("""COMPUTED_VALUE"""),"Beginner")</f>
        <v>Beginner</v>
      </c>
      <c r="G93" s="143">
        <f>IFERROR(__xludf.DUMMYFUNCTION("""COMPUTED_VALUE"""),0.042986111111111114)</f>
        <v>0.04298611111</v>
      </c>
      <c r="H93" s="151"/>
      <c r="I93" s="140"/>
      <c r="J93" s="140"/>
      <c r="K93" s="140"/>
      <c r="L93" s="147"/>
      <c r="M93" s="159"/>
      <c r="N93" s="147"/>
      <c r="O93" s="141"/>
      <c r="P93" s="143"/>
      <c r="Q93" s="151"/>
      <c r="R93" s="140"/>
      <c r="S93" s="140"/>
    </row>
    <row r="94" ht="33.75" customHeight="1">
      <c r="A94" s="140"/>
      <c r="B94" s="140"/>
      <c r="C94" s="147">
        <f>IFERROR(__xludf.DUMMYFUNCTION("""COMPUTED_VALUE"""),3011082.0)</f>
        <v>3011082</v>
      </c>
      <c r="D94" s="150" t="str">
        <f>IFERROR(__xludf.DUMMYFUNCTION("""COMPUTED_VALUE"""),"The Habits of Successful Marketers")</f>
        <v>The Habits of Successful Marketers</v>
      </c>
      <c r="E94" s="147" t="str">
        <f>IFERROR(__xludf.DUMMYFUNCTION("""COMPUTED_VALUE"""),"General")</f>
        <v>General</v>
      </c>
      <c r="F94" s="141" t="str">
        <f>IFERROR(__xludf.DUMMYFUNCTION("""COMPUTED_VALUE"""),"Beginner")</f>
        <v>Beginner</v>
      </c>
      <c r="G94" s="143">
        <f>IFERROR(__xludf.DUMMYFUNCTION("""COMPUTED_VALUE"""),0.030069444444444444)</f>
        <v>0.03006944444</v>
      </c>
      <c r="H94" s="151"/>
      <c r="I94" s="140"/>
      <c r="J94" s="140"/>
      <c r="K94" s="140"/>
      <c r="L94" s="147"/>
      <c r="M94" s="159"/>
      <c r="N94" s="147"/>
      <c r="O94" s="141"/>
      <c r="P94" s="143"/>
      <c r="Q94" s="151"/>
      <c r="R94" s="140"/>
      <c r="S94" s="140"/>
    </row>
    <row r="95" ht="33.75" customHeight="1">
      <c r="A95" s="140"/>
      <c r="B95" s="140"/>
      <c r="C95" s="147">
        <f>IFERROR(__xludf.DUMMYFUNCTION("""COMPUTED_VALUE"""),2427723.0)</f>
        <v>2427723</v>
      </c>
      <c r="D95" s="150" t="str">
        <f>IFERROR(__xludf.DUMMYFUNCTION("""COMPUTED_VALUE"""),"Social Media Marketing Strategy: TikTok and Instagram Reels")</f>
        <v>Social Media Marketing Strategy: TikTok and Instagram Reels</v>
      </c>
      <c r="E95" s="147" t="str">
        <f>IFERROR(__xludf.DUMMYFUNCTION("""COMPUTED_VALUE"""),"General")</f>
        <v>General</v>
      </c>
      <c r="F95" s="141" t="str">
        <f>IFERROR(__xludf.DUMMYFUNCTION("""COMPUTED_VALUE"""),"Beginner")</f>
        <v>Beginner</v>
      </c>
      <c r="G95" s="143">
        <f>IFERROR(__xludf.DUMMYFUNCTION("""COMPUTED_VALUE"""),0.05171296296296296)</f>
        <v>0.05171296296</v>
      </c>
      <c r="H95" s="151"/>
      <c r="I95" s="140"/>
      <c r="J95" s="140"/>
      <c r="K95" s="140"/>
      <c r="L95" s="147"/>
      <c r="M95" s="159"/>
      <c r="N95" s="147"/>
      <c r="O95" s="141"/>
      <c r="P95" s="143"/>
      <c r="Q95" s="151"/>
      <c r="R95" s="140"/>
      <c r="S95" s="140"/>
    </row>
    <row r="96" ht="33.75" customHeight="1">
      <c r="A96" s="140"/>
      <c r="B96" s="140"/>
      <c r="C96" s="147">
        <f>IFERROR(__xludf.DUMMYFUNCTION("""COMPUTED_VALUE"""),3013035.0)</f>
        <v>3013035</v>
      </c>
      <c r="D96" s="150" t="str">
        <f>IFERROR(__xludf.DUMMYFUNCTION("""COMPUTED_VALUE"""),"Social Media for Working Professionals")</f>
        <v>Social Media for Working Professionals</v>
      </c>
      <c r="E96" s="147" t="str">
        <f>IFERROR(__xludf.DUMMYFUNCTION("""COMPUTED_VALUE"""),"General")</f>
        <v>General</v>
      </c>
      <c r="F96" s="141" t="str">
        <f>IFERROR(__xludf.DUMMYFUNCTION("""COMPUTED_VALUE"""),"Beginner")</f>
        <v>Beginner</v>
      </c>
      <c r="G96" s="143">
        <f>IFERROR(__xludf.DUMMYFUNCTION("""COMPUTED_VALUE"""),0.029548611111111112)</f>
        <v>0.02954861111</v>
      </c>
      <c r="H96" s="151"/>
      <c r="I96" s="140"/>
      <c r="J96" s="140"/>
      <c r="K96" s="140"/>
      <c r="L96" s="147"/>
      <c r="M96" s="159"/>
      <c r="N96" s="147"/>
      <c r="O96" s="141"/>
      <c r="P96" s="143"/>
      <c r="Q96" s="151"/>
      <c r="R96" s="140"/>
      <c r="S96" s="140"/>
    </row>
    <row r="97" ht="33.75" customHeight="1">
      <c r="A97" s="140"/>
      <c r="B97" s="140"/>
      <c r="C97" s="147">
        <f>IFERROR(__xludf.DUMMYFUNCTION("""COMPUTED_VALUE"""),2423753.0)</f>
        <v>2423753</v>
      </c>
      <c r="D97" s="150" t="str">
        <f>IFERROR(__xludf.DUMMYFUNCTION("""COMPUTED_VALUE"""),"Brand Design Foundations")</f>
        <v>Brand Design Foundations</v>
      </c>
      <c r="E97" s="147" t="str">
        <f>IFERROR(__xludf.DUMMYFUNCTION("""COMPUTED_VALUE"""),"General")</f>
        <v>General</v>
      </c>
      <c r="F97" s="141" t="str">
        <f>IFERROR(__xludf.DUMMYFUNCTION("""COMPUTED_VALUE"""),"Beginner")</f>
        <v>Beginner</v>
      </c>
      <c r="G97" s="143">
        <f>IFERROR(__xludf.DUMMYFUNCTION("""COMPUTED_VALUE"""),0.10708333333333334)</f>
        <v>0.1070833333</v>
      </c>
      <c r="H97" s="151"/>
      <c r="I97" s="140"/>
      <c r="J97" s="140"/>
      <c r="K97" s="140"/>
      <c r="L97" s="147"/>
      <c r="M97" s="159"/>
      <c r="N97" s="147"/>
      <c r="O97" s="141"/>
      <c r="P97" s="143"/>
      <c r="Q97" s="151"/>
      <c r="R97" s="140"/>
      <c r="S97" s="140"/>
    </row>
    <row r="98" ht="33.75" customHeight="1">
      <c r="A98" s="140"/>
      <c r="B98" s="140"/>
      <c r="C98" s="147">
        <f>IFERROR(__xludf.DUMMYFUNCTION("""COMPUTED_VALUE"""),2447217.0)</f>
        <v>2447217</v>
      </c>
      <c r="D98" s="150" t="str">
        <f>IFERROR(__xludf.DUMMYFUNCTION("""COMPUTED_VALUE"""),"Metaverse and NFTs for Marketing")</f>
        <v>Metaverse and NFTs for Marketing</v>
      </c>
      <c r="E98" s="147" t="str">
        <f>IFERROR(__xludf.DUMMYFUNCTION("""COMPUTED_VALUE"""),"General")</f>
        <v>General</v>
      </c>
      <c r="F98" s="141" t="str">
        <f>IFERROR(__xludf.DUMMYFUNCTION("""COMPUTED_VALUE"""),"Beginner")</f>
        <v>Beginner</v>
      </c>
      <c r="G98" s="143">
        <f>IFERROR(__xludf.DUMMYFUNCTION("""COMPUTED_VALUE"""),0.019016203703703705)</f>
        <v>0.0190162037</v>
      </c>
      <c r="H98" s="151"/>
      <c r="I98" s="140"/>
      <c r="J98" s="140"/>
      <c r="K98" s="140"/>
      <c r="L98" s="147"/>
      <c r="M98" s="159"/>
      <c r="N98" s="147"/>
      <c r="O98" s="141"/>
      <c r="P98" s="143"/>
      <c r="Q98" s="151"/>
      <c r="R98" s="140"/>
      <c r="S98" s="140"/>
    </row>
    <row r="99" ht="33.75" customHeight="1">
      <c r="A99" s="140"/>
      <c r="B99" s="140"/>
      <c r="C99" s="147">
        <f>IFERROR(__xludf.DUMMYFUNCTION("""COMPUTED_VALUE"""),3008698.0)</f>
        <v>3008698</v>
      </c>
      <c r="D99" s="150" t="str">
        <f>IFERROR(__xludf.DUMMYFUNCTION("""COMPUTED_VALUE"""),"Marketing on Facebook")</f>
        <v>Marketing on Facebook</v>
      </c>
      <c r="E99" s="147" t="str">
        <f>IFERROR(__xludf.DUMMYFUNCTION("""COMPUTED_VALUE"""),"General")</f>
        <v>General</v>
      </c>
      <c r="F99" s="141" t="str">
        <f>IFERROR(__xludf.DUMMYFUNCTION("""COMPUTED_VALUE"""),"Beginner")</f>
        <v>Beginner</v>
      </c>
      <c r="G99" s="143">
        <f>IFERROR(__xludf.DUMMYFUNCTION("""COMPUTED_VALUE"""),0.06836805555555556)</f>
        <v>0.06836805556</v>
      </c>
      <c r="H99" s="151"/>
      <c r="I99" s="140"/>
      <c r="J99" s="140"/>
      <c r="K99" s="140"/>
      <c r="L99" s="147"/>
      <c r="M99" s="159"/>
      <c r="N99" s="147"/>
      <c r="O99" s="141"/>
      <c r="P99" s="143"/>
      <c r="Q99" s="151"/>
      <c r="R99" s="140"/>
      <c r="S99" s="140"/>
    </row>
    <row r="100" ht="33.75" customHeight="1">
      <c r="A100" s="140"/>
      <c r="B100" s="140"/>
      <c r="C100" s="147">
        <f>IFERROR(__xludf.DUMMYFUNCTION("""COMPUTED_VALUE"""),3013251.0)</f>
        <v>3013251</v>
      </c>
      <c r="D100" s="150" t="str">
        <f>IFERROR(__xludf.DUMMYFUNCTION("""COMPUTED_VALUE"""),"Marketing Strategy Case Studies from Leading Brands")</f>
        <v>Marketing Strategy Case Studies from Leading Brands</v>
      </c>
      <c r="E100" s="147" t="str">
        <f>IFERROR(__xludf.DUMMYFUNCTION("""COMPUTED_VALUE"""),"General")</f>
        <v>General</v>
      </c>
      <c r="F100" s="141" t="str">
        <f>IFERROR(__xludf.DUMMYFUNCTION("""COMPUTED_VALUE"""),"Beginner")</f>
        <v>Beginner</v>
      </c>
      <c r="G100" s="143">
        <f>IFERROR(__xludf.DUMMYFUNCTION("""COMPUTED_VALUE"""),0.05348379629629629)</f>
        <v>0.0534837963</v>
      </c>
      <c r="H100" s="151"/>
      <c r="I100" s="140"/>
      <c r="J100" s="140"/>
      <c r="K100" s="140"/>
      <c r="L100" s="147"/>
      <c r="M100" s="159"/>
      <c r="N100" s="147"/>
      <c r="O100" s="141"/>
      <c r="P100" s="143"/>
      <c r="Q100" s="151"/>
      <c r="R100" s="140"/>
      <c r="S100" s="140"/>
    </row>
    <row r="101" ht="33.75" customHeight="1">
      <c r="A101" s="140"/>
      <c r="B101" s="140"/>
      <c r="C101" s="147">
        <f>IFERROR(__xludf.DUMMYFUNCTION("""COMPUTED_VALUE"""),3013252.0)</f>
        <v>3013252</v>
      </c>
      <c r="D101" s="150" t="str">
        <f>IFERROR(__xludf.DUMMYFUNCTION("""COMPUTED_VALUE"""),"Brand Strategy: Management of Your Brand Reputation")</f>
        <v>Brand Strategy: Management of Your Brand Reputation</v>
      </c>
      <c r="E101" s="147" t="str">
        <f>IFERROR(__xludf.DUMMYFUNCTION("""COMPUTED_VALUE"""),"General")</f>
        <v>General</v>
      </c>
      <c r="F101" s="141" t="str">
        <f>IFERROR(__xludf.DUMMYFUNCTION("""COMPUTED_VALUE"""),"Beginner")</f>
        <v>Beginner</v>
      </c>
      <c r="G101" s="143">
        <f>IFERROR(__xludf.DUMMYFUNCTION("""COMPUTED_VALUE"""),0.05354166666666667)</f>
        <v>0.05354166667</v>
      </c>
      <c r="H101" s="151"/>
      <c r="I101" s="140"/>
      <c r="J101" s="140"/>
      <c r="K101" s="140"/>
      <c r="L101" s="147"/>
      <c r="M101" s="159"/>
      <c r="N101" s="147"/>
      <c r="O101" s="141"/>
      <c r="P101" s="143"/>
      <c r="Q101" s="151"/>
      <c r="R101" s="140"/>
      <c r="S101" s="140"/>
    </row>
    <row r="102" ht="33.75" customHeight="1">
      <c r="A102" s="140"/>
      <c r="B102" s="140"/>
      <c r="C102" s="147">
        <f>IFERROR(__xludf.DUMMYFUNCTION("""COMPUTED_VALUE"""),3013331.0)</f>
        <v>3013331</v>
      </c>
      <c r="D102" s="150" t="str">
        <f>IFERROR(__xludf.DUMMYFUNCTION("""COMPUTED_VALUE"""),"Content Strategy for Marketers")</f>
        <v>Content Strategy for Marketers</v>
      </c>
      <c r="E102" s="147" t="str">
        <f>IFERROR(__xludf.DUMMYFUNCTION("""COMPUTED_VALUE"""),"General")</f>
        <v>General</v>
      </c>
      <c r="F102" s="141" t="str">
        <f>IFERROR(__xludf.DUMMYFUNCTION("""COMPUTED_VALUE"""),"Beginner")</f>
        <v>Beginner</v>
      </c>
      <c r="G102" s="143">
        <f>IFERROR(__xludf.DUMMYFUNCTION("""COMPUTED_VALUE"""),0.02409722222222222)</f>
        <v>0.02409722222</v>
      </c>
      <c r="H102" s="151"/>
      <c r="I102" s="140"/>
      <c r="J102" s="140"/>
      <c r="K102" s="140"/>
      <c r="L102" s="147"/>
      <c r="M102" s="159"/>
      <c r="N102" s="147"/>
      <c r="O102" s="141"/>
      <c r="P102" s="143"/>
      <c r="Q102" s="151"/>
      <c r="R102" s="140"/>
      <c r="S102" s="140"/>
    </row>
    <row r="103" ht="33.75" customHeight="1">
      <c r="A103" s="140"/>
      <c r="B103" s="140"/>
      <c r="C103" s="147">
        <f>IFERROR(__xludf.DUMMYFUNCTION("""COMPUTED_VALUE"""),3013636.0)</f>
        <v>3013636</v>
      </c>
      <c r="D103" s="150" t="str">
        <f>IFERROR(__xludf.DUMMYFUNCTION("""COMPUTED_VALUE"""),"Social Media Stories: Creative Strategies and Tips")</f>
        <v>Social Media Stories: Creative Strategies and Tips</v>
      </c>
      <c r="E103" s="147" t="str">
        <f>IFERROR(__xludf.DUMMYFUNCTION("""COMPUTED_VALUE"""),"General")</f>
        <v>General</v>
      </c>
      <c r="F103" s="141" t="str">
        <f>IFERROR(__xludf.DUMMYFUNCTION("""COMPUTED_VALUE"""),"Beginner")</f>
        <v>Beginner</v>
      </c>
      <c r="G103" s="143">
        <f>IFERROR(__xludf.DUMMYFUNCTION("""COMPUTED_VALUE"""),0.009814814814814814)</f>
        <v>0.009814814815</v>
      </c>
      <c r="H103" s="151"/>
      <c r="I103" s="140"/>
      <c r="J103" s="140"/>
      <c r="K103" s="140"/>
      <c r="L103" s="147"/>
      <c r="M103" s="159"/>
      <c r="N103" s="147"/>
      <c r="O103" s="141"/>
      <c r="P103" s="143"/>
      <c r="Q103" s="151"/>
      <c r="R103" s="140"/>
      <c r="S103" s="140"/>
    </row>
    <row r="104" ht="33.75" customHeight="1">
      <c r="A104" s="140"/>
      <c r="B104" s="140"/>
      <c r="C104" s="147">
        <f>IFERROR(__xludf.DUMMYFUNCTION("""COMPUTED_VALUE"""),3022208.0)</f>
        <v>3022208</v>
      </c>
      <c r="D104" s="150" t="str">
        <f>IFERROR(__xludf.DUMMYFUNCTION("""COMPUTED_VALUE"""),"Content Creation: Strategy and Tools")</f>
        <v>Content Creation: Strategy and Tools</v>
      </c>
      <c r="E104" s="147" t="str">
        <f>IFERROR(__xludf.DUMMYFUNCTION("""COMPUTED_VALUE"""),"General")</f>
        <v>General</v>
      </c>
      <c r="F104" s="141" t="str">
        <f>IFERROR(__xludf.DUMMYFUNCTION("""COMPUTED_VALUE"""),"Beginner")</f>
        <v>Beginner</v>
      </c>
      <c r="G104" s="143">
        <f>IFERROR(__xludf.DUMMYFUNCTION("""COMPUTED_VALUE"""),0.02550925925925926)</f>
        <v>0.02550925926</v>
      </c>
      <c r="H104" s="151"/>
      <c r="I104" s="140"/>
      <c r="J104" s="140"/>
      <c r="K104" s="140"/>
      <c r="L104" s="147"/>
      <c r="M104" s="159"/>
      <c r="N104" s="147"/>
      <c r="O104" s="141"/>
      <c r="P104" s="143"/>
      <c r="Q104" s="151"/>
      <c r="R104" s="140"/>
      <c r="S104" s="140"/>
    </row>
    <row r="105" ht="33.75" customHeight="1">
      <c r="A105" s="140"/>
      <c r="B105" s="140"/>
      <c r="C105" s="147">
        <f>IFERROR(__xludf.DUMMYFUNCTION("""COMPUTED_VALUE"""),3022385.0)</f>
        <v>3022385</v>
      </c>
      <c r="D105" s="150" t="str">
        <f>IFERROR(__xludf.DUMMYFUNCTION("""COMPUTED_VALUE"""),"Ecommerce with Facebook and Instagram")</f>
        <v>Ecommerce with Facebook and Instagram</v>
      </c>
      <c r="E105" s="147" t="str">
        <f>IFERROR(__xludf.DUMMYFUNCTION("""COMPUTED_VALUE"""),"General")</f>
        <v>General</v>
      </c>
      <c r="F105" s="141" t="str">
        <f>IFERROR(__xludf.DUMMYFUNCTION("""COMPUTED_VALUE"""),"Beginner")</f>
        <v>Beginner</v>
      </c>
      <c r="G105" s="143">
        <f>IFERROR(__xludf.DUMMYFUNCTION("""COMPUTED_VALUE"""),0.03252314814814815)</f>
        <v>0.03252314815</v>
      </c>
      <c r="H105" s="151"/>
      <c r="I105" s="140"/>
      <c r="J105" s="140"/>
      <c r="K105" s="140"/>
      <c r="L105" s="147"/>
      <c r="M105" s="159"/>
      <c r="N105" s="147"/>
      <c r="O105" s="141"/>
      <c r="P105" s="143"/>
      <c r="Q105" s="151"/>
      <c r="R105" s="140"/>
      <c r="S105" s="140"/>
    </row>
    <row r="106" ht="33.75" customHeight="1">
      <c r="A106" s="140"/>
      <c r="B106" s="140"/>
      <c r="C106" s="147">
        <f>IFERROR(__xludf.DUMMYFUNCTION("""COMPUTED_VALUE"""),2430046.0)</f>
        <v>2430046</v>
      </c>
      <c r="D106" s="150" t="str">
        <f>IFERROR(__xludf.DUMMYFUNCTION("""COMPUTED_VALUE"""),"Market Research: B2B")</f>
        <v>Market Research: B2B</v>
      </c>
      <c r="E106" s="147" t="str">
        <f>IFERROR(__xludf.DUMMYFUNCTION("""COMPUTED_VALUE"""),"General")</f>
        <v>General</v>
      </c>
      <c r="F106" s="141" t="str">
        <f>IFERROR(__xludf.DUMMYFUNCTION("""COMPUTED_VALUE"""),"Beginner + Intermediate")</f>
        <v>Beginner + Intermediate</v>
      </c>
      <c r="G106" s="143">
        <f>IFERROR(__xludf.DUMMYFUNCTION("""COMPUTED_VALUE"""),0.03280092592592593)</f>
        <v>0.03280092593</v>
      </c>
      <c r="H106" s="151"/>
      <c r="I106" s="140"/>
      <c r="J106" s="140"/>
      <c r="K106" s="140"/>
      <c r="L106" s="147"/>
      <c r="M106" s="159"/>
      <c r="N106" s="147"/>
      <c r="O106" s="141"/>
      <c r="P106" s="143"/>
      <c r="Q106" s="151"/>
      <c r="R106" s="140"/>
      <c r="S106" s="140"/>
    </row>
    <row r="107" ht="33.75" customHeight="1">
      <c r="A107" s="140"/>
      <c r="B107" s="140"/>
      <c r="C107" s="147">
        <f>IFERROR(__xludf.DUMMYFUNCTION("""COMPUTED_VALUE"""),3008553.0)</f>
        <v>3008553</v>
      </c>
      <c r="D107" s="150" t="str">
        <f>IFERROR(__xludf.DUMMYFUNCTION("""COMPUTED_VALUE"""),"Retail Marketing Strategy")</f>
        <v>Retail Marketing Strategy</v>
      </c>
      <c r="E107" s="147" t="str">
        <f>IFERROR(__xludf.DUMMYFUNCTION("""COMPUTED_VALUE"""),"General")</f>
        <v>General</v>
      </c>
      <c r="F107" s="141" t="str">
        <f>IFERROR(__xludf.DUMMYFUNCTION("""COMPUTED_VALUE"""),"Beginner + Intermediate")</f>
        <v>Beginner + Intermediate</v>
      </c>
      <c r="G107" s="143">
        <f>IFERROR(__xludf.DUMMYFUNCTION("""COMPUTED_VALUE"""),0.026689814814814816)</f>
        <v>0.02668981481</v>
      </c>
      <c r="H107" s="151"/>
      <c r="I107" s="140"/>
      <c r="J107" s="140"/>
      <c r="K107" s="140"/>
      <c r="L107" s="147"/>
      <c r="M107" s="159"/>
      <c r="N107" s="147"/>
      <c r="O107" s="141"/>
      <c r="P107" s="143"/>
      <c r="Q107" s="151"/>
      <c r="R107" s="140"/>
      <c r="S107" s="140"/>
    </row>
    <row r="108" ht="33.75" customHeight="1">
      <c r="A108" s="140"/>
      <c r="B108" s="140"/>
      <c r="C108" s="147">
        <f>IFERROR(__xludf.DUMMYFUNCTION("""COMPUTED_VALUE"""),3008224.0)</f>
        <v>3008224</v>
      </c>
      <c r="D108" s="150" t="str">
        <f>IFERROR(__xludf.DUMMYFUNCTION("""COMPUTED_VALUE"""),"Designing for Business")</f>
        <v>Designing for Business</v>
      </c>
      <c r="E108" s="147" t="str">
        <f>IFERROR(__xludf.DUMMYFUNCTION("""COMPUTED_VALUE"""),"General")</f>
        <v>General</v>
      </c>
      <c r="F108" s="141" t="str">
        <f>IFERROR(__xludf.DUMMYFUNCTION("""COMPUTED_VALUE"""),"Beginner + Intermediate")</f>
        <v>Beginner + Intermediate</v>
      </c>
      <c r="G108" s="143">
        <f>IFERROR(__xludf.DUMMYFUNCTION("""COMPUTED_VALUE"""),0.16121527777777778)</f>
        <v>0.1612152778</v>
      </c>
      <c r="H108" s="151"/>
      <c r="I108" s="140"/>
      <c r="J108" s="140"/>
      <c r="K108" s="140"/>
      <c r="L108" s="147"/>
      <c r="M108" s="159"/>
      <c r="N108" s="147"/>
      <c r="O108" s="141"/>
      <c r="P108" s="143"/>
      <c r="Q108" s="151"/>
      <c r="R108" s="140"/>
      <c r="S108" s="140"/>
    </row>
    <row r="109" ht="33.75" customHeight="1">
      <c r="A109" s="140"/>
      <c r="B109" s="140"/>
      <c r="C109" s="147">
        <f>IFERROR(__xludf.DUMMYFUNCTION("""COMPUTED_VALUE"""),2210431.0)</f>
        <v>2210431</v>
      </c>
      <c r="D109" s="150" t="str">
        <f>IFERROR(__xludf.DUMMYFUNCTION("""COMPUTED_VALUE"""),"Creating Social Content with Adobe Animate CC")</f>
        <v>Creating Social Content with Adobe Animate CC</v>
      </c>
      <c r="E109" s="147" t="str">
        <f>IFERROR(__xludf.DUMMYFUNCTION("""COMPUTED_VALUE"""),"General")</f>
        <v>General</v>
      </c>
      <c r="F109" s="141" t="str">
        <f>IFERROR(__xludf.DUMMYFUNCTION("""COMPUTED_VALUE"""),"Beginner + Intermediate")</f>
        <v>Beginner + Intermediate</v>
      </c>
      <c r="G109" s="143">
        <f>IFERROR(__xludf.DUMMYFUNCTION("""COMPUTED_VALUE"""),0.0637037037037037)</f>
        <v>0.0637037037</v>
      </c>
      <c r="H109" s="151"/>
      <c r="I109" s="140"/>
      <c r="J109" s="140"/>
      <c r="K109" s="140"/>
      <c r="L109" s="147"/>
      <c r="M109" s="159"/>
      <c r="N109" s="147"/>
      <c r="O109" s="141"/>
      <c r="P109" s="143"/>
      <c r="Q109" s="151"/>
      <c r="R109" s="140"/>
      <c r="S109" s="140"/>
    </row>
    <row r="110" ht="33.75" customHeight="1">
      <c r="A110" s="140"/>
      <c r="B110" s="140"/>
      <c r="C110" s="147">
        <f>IFERROR(__xludf.DUMMYFUNCTION("""COMPUTED_VALUE"""),2824237.0)</f>
        <v>2824237</v>
      </c>
      <c r="D110" s="150" t="str">
        <f>IFERROR(__xludf.DUMMYFUNCTION("""COMPUTED_VALUE"""),"Social Media for Video Pros")</f>
        <v>Social Media for Video Pros</v>
      </c>
      <c r="E110" s="147" t="str">
        <f>IFERROR(__xludf.DUMMYFUNCTION("""COMPUTED_VALUE"""),"General")</f>
        <v>General</v>
      </c>
      <c r="F110" s="141" t="str">
        <f>IFERROR(__xludf.DUMMYFUNCTION("""COMPUTED_VALUE"""),"Beginner + Intermediate")</f>
        <v>Beginner + Intermediate</v>
      </c>
      <c r="G110" s="143">
        <f>IFERROR(__xludf.DUMMYFUNCTION("""COMPUTED_VALUE"""),0.07431712962962964)</f>
        <v>0.07431712963</v>
      </c>
      <c r="H110" s="151"/>
      <c r="I110" s="140"/>
      <c r="J110" s="140"/>
      <c r="K110" s="140"/>
      <c r="L110" s="147"/>
      <c r="M110" s="159"/>
      <c r="N110" s="147"/>
      <c r="O110" s="141"/>
      <c r="P110" s="143"/>
      <c r="Q110" s="151"/>
      <c r="R110" s="140"/>
      <c r="S110" s="140"/>
    </row>
    <row r="111" ht="33.75" customHeight="1">
      <c r="A111" s="140"/>
      <c r="B111" s="140"/>
      <c r="C111" s="147">
        <f>IFERROR(__xludf.DUMMYFUNCTION("""COMPUTED_VALUE"""),471976.0)</f>
        <v>471976</v>
      </c>
      <c r="D111" s="150" t="str">
        <f>IFERROR(__xludf.DUMMYFUNCTION("""COMPUTED_VALUE"""),"Social Media Marketing for Small Business")</f>
        <v>Social Media Marketing for Small Business</v>
      </c>
      <c r="E111" s="147" t="str">
        <f>IFERROR(__xludf.DUMMYFUNCTION("""COMPUTED_VALUE"""),"General")</f>
        <v>General</v>
      </c>
      <c r="F111" s="141" t="str">
        <f>IFERROR(__xludf.DUMMYFUNCTION("""COMPUTED_VALUE"""),"Beginner + Intermediate")</f>
        <v>Beginner + Intermediate</v>
      </c>
      <c r="G111" s="143">
        <f>IFERROR(__xludf.DUMMYFUNCTION("""COMPUTED_VALUE"""),0.04189814814814815)</f>
        <v>0.04189814815</v>
      </c>
      <c r="H111" s="151"/>
      <c r="I111" s="140"/>
      <c r="J111" s="140"/>
      <c r="K111" s="140"/>
      <c r="L111" s="147"/>
      <c r="M111" s="159"/>
      <c r="N111" s="147"/>
      <c r="O111" s="141"/>
      <c r="P111" s="143"/>
      <c r="Q111" s="151"/>
      <c r="R111" s="140"/>
      <c r="S111" s="140"/>
    </row>
    <row r="112" ht="33.75" customHeight="1">
      <c r="A112" s="140"/>
      <c r="B112" s="140"/>
      <c r="C112" s="147">
        <f>IFERROR(__xludf.DUMMYFUNCTION("""COMPUTED_VALUE"""),157305.0)</f>
        <v>157305</v>
      </c>
      <c r="D112" s="150" t="str">
        <f>IFERROR(__xludf.DUMMYFUNCTION("""COMPUTED_VALUE"""),"Jonah Berger on Viral Marketing")</f>
        <v>Jonah Berger on Viral Marketing</v>
      </c>
      <c r="E112" s="147" t="str">
        <f>IFERROR(__xludf.DUMMYFUNCTION("""COMPUTED_VALUE"""),"General")</f>
        <v>General</v>
      </c>
      <c r="F112" s="141" t="str">
        <f>IFERROR(__xludf.DUMMYFUNCTION("""COMPUTED_VALUE"""),"General")</f>
        <v>General</v>
      </c>
      <c r="G112" s="143">
        <f>IFERROR(__xludf.DUMMYFUNCTION("""COMPUTED_VALUE"""),0.03765046296296296)</f>
        <v>0.03765046296</v>
      </c>
      <c r="H112" s="151"/>
      <c r="I112" s="140"/>
      <c r="J112" s="140"/>
      <c r="K112" s="140"/>
      <c r="L112" s="147"/>
      <c r="M112" s="159"/>
      <c r="N112" s="147"/>
      <c r="O112" s="141"/>
      <c r="P112" s="143"/>
      <c r="Q112" s="151"/>
      <c r="R112" s="140"/>
      <c r="S112" s="140"/>
    </row>
    <row r="113" ht="33.75" customHeight="1">
      <c r="A113" s="140"/>
      <c r="B113" s="140"/>
      <c r="C113" s="147">
        <f>IFERROR(__xludf.DUMMYFUNCTION("""COMPUTED_VALUE"""),737788.0)</f>
        <v>737788</v>
      </c>
      <c r="D113" s="150" t="str">
        <f>IFERROR(__xludf.DUMMYFUNCTION("""COMPUTED_VALUE"""),"SEO Foundations")</f>
        <v>SEO Foundations</v>
      </c>
      <c r="E113" s="147" t="str">
        <f>IFERROR(__xludf.DUMMYFUNCTION("""COMPUTED_VALUE"""),"General")</f>
        <v>General</v>
      </c>
      <c r="F113" s="141" t="str">
        <f>IFERROR(__xludf.DUMMYFUNCTION("""COMPUTED_VALUE"""),"General")</f>
        <v>General</v>
      </c>
      <c r="G113" s="143">
        <f>IFERROR(__xludf.DUMMYFUNCTION("""COMPUTED_VALUE"""),0.10988425925925926)</f>
        <v>0.1098842593</v>
      </c>
      <c r="H113" s="151"/>
      <c r="I113" s="140"/>
      <c r="J113" s="140"/>
      <c r="K113" s="140"/>
      <c r="L113" s="147"/>
      <c r="M113" s="159"/>
      <c r="N113" s="147"/>
      <c r="O113" s="141"/>
      <c r="P113" s="143"/>
      <c r="Q113" s="151"/>
      <c r="R113" s="140"/>
      <c r="S113" s="140"/>
    </row>
    <row r="114" ht="33.75" customHeight="1">
      <c r="A114" s="140"/>
      <c r="B114" s="140"/>
      <c r="C114" s="147">
        <f>IFERROR(__xludf.DUMMYFUNCTION("""COMPUTED_VALUE"""),2818028.0)</f>
        <v>2818028</v>
      </c>
      <c r="D114" s="150" t="str">
        <f>IFERROR(__xludf.DUMMYFUNCTION("""COMPUTED_VALUE"""),"Introduction to Content Marketing")</f>
        <v>Introduction to Content Marketing</v>
      </c>
      <c r="E114" s="147" t="str">
        <f>IFERROR(__xludf.DUMMYFUNCTION("""COMPUTED_VALUE"""),"General")</f>
        <v>General</v>
      </c>
      <c r="F114" s="141" t="str">
        <f>IFERROR(__xludf.DUMMYFUNCTION("""COMPUTED_VALUE"""),"General")</f>
        <v>General</v>
      </c>
      <c r="G114" s="143">
        <f>IFERROR(__xludf.DUMMYFUNCTION("""COMPUTED_VALUE"""),0.06278935185185185)</f>
        <v>0.06278935185</v>
      </c>
      <c r="H114" s="151"/>
      <c r="I114" s="140"/>
      <c r="J114" s="140"/>
      <c r="K114" s="140"/>
      <c r="L114" s="147"/>
      <c r="M114" s="159"/>
      <c r="N114" s="147"/>
      <c r="O114" s="141"/>
      <c r="P114" s="143"/>
      <c r="Q114" s="151"/>
      <c r="R114" s="140"/>
      <c r="S114" s="140"/>
    </row>
    <row r="115" ht="33.75" customHeight="1">
      <c r="A115" s="140"/>
      <c r="B115" s="140"/>
      <c r="C115" s="147">
        <f>IFERROR(__xludf.DUMMYFUNCTION("""COMPUTED_VALUE"""),2838111.0)</f>
        <v>2838111</v>
      </c>
      <c r="D115" s="150" t="str">
        <f>IFERROR(__xludf.DUMMYFUNCTION("""COMPUTED_VALUE"""),"Marketing During a Crisis")</f>
        <v>Marketing During a Crisis</v>
      </c>
      <c r="E115" s="147" t="str">
        <f>IFERROR(__xludf.DUMMYFUNCTION("""COMPUTED_VALUE"""),"General")</f>
        <v>General</v>
      </c>
      <c r="F115" s="141" t="str">
        <f>IFERROR(__xludf.DUMMYFUNCTION("""COMPUTED_VALUE"""),"General")</f>
        <v>General</v>
      </c>
      <c r="G115" s="143">
        <f>IFERROR(__xludf.DUMMYFUNCTION("""COMPUTED_VALUE"""),0.02105324074074074)</f>
        <v>0.02105324074</v>
      </c>
      <c r="H115" s="151"/>
      <c r="I115" s="140"/>
      <c r="J115" s="140"/>
      <c r="K115" s="140"/>
      <c r="L115" s="147"/>
      <c r="M115" s="159"/>
      <c r="N115" s="147"/>
      <c r="O115" s="141"/>
      <c r="P115" s="143"/>
      <c r="Q115" s="151"/>
      <c r="R115" s="140"/>
      <c r="S115" s="140"/>
    </row>
    <row r="116" ht="33.75" customHeight="1">
      <c r="A116" s="140"/>
      <c r="B116" s="140"/>
      <c r="C116" s="147">
        <f>IFERROR(__xludf.DUMMYFUNCTION("""COMPUTED_VALUE"""),2836033.0)</f>
        <v>2836033</v>
      </c>
      <c r="D116" s="150" t="str">
        <f>IFERROR(__xludf.DUMMYFUNCTION("""COMPUTED_VALUE"""),"Disruptive Branding (Blinkist Summary)")</f>
        <v>Disruptive Branding (Blinkist Summary)</v>
      </c>
      <c r="E116" s="147" t="str">
        <f>IFERROR(__xludf.DUMMYFUNCTION("""COMPUTED_VALUE"""),"General")</f>
        <v>General</v>
      </c>
      <c r="F116" s="141" t="str">
        <f>IFERROR(__xludf.DUMMYFUNCTION("""COMPUTED_VALUE"""),"General")</f>
        <v>General</v>
      </c>
      <c r="G116" s="143">
        <f>IFERROR(__xludf.DUMMYFUNCTION("""COMPUTED_VALUE"""),0.014699074074074074)</f>
        <v>0.01469907407</v>
      </c>
      <c r="H116" s="151"/>
      <c r="I116" s="140"/>
      <c r="J116" s="140"/>
      <c r="K116" s="140"/>
      <c r="L116" s="147"/>
      <c r="M116" s="159"/>
      <c r="N116" s="147"/>
      <c r="O116" s="141"/>
      <c r="P116" s="143"/>
      <c r="Q116" s="151"/>
      <c r="R116" s="140"/>
      <c r="S116" s="140"/>
    </row>
    <row r="117" ht="33.75" customHeight="1">
      <c r="A117" s="140"/>
      <c r="B117" s="140"/>
      <c r="C117" s="147">
        <f>IFERROR(__xludf.DUMMYFUNCTION("""COMPUTED_VALUE"""),2870045.0)</f>
        <v>2870045</v>
      </c>
      <c r="D117" s="150" t="str">
        <f>IFERROR(__xludf.DUMMYFUNCTION("""COMPUTED_VALUE"""),"Artificial Intelligence for Marketing")</f>
        <v>Artificial Intelligence for Marketing</v>
      </c>
      <c r="E117" s="147" t="str">
        <f>IFERROR(__xludf.DUMMYFUNCTION("""COMPUTED_VALUE"""),"General")</f>
        <v>General</v>
      </c>
      <c r="F117" s="141" t="str">
        <f>IFERROR(__xludf.DUMMYFUNCTION("""COMPUTED_VALUE"""),"General")</f>
        <v>General</v>
      </c>
      <c r="G117" s="143">
        <f>IFERROR(__xludf.DUMMYFUNCTION("""COMPUTED_VALUE"""),0.0568287037037037)</f>
        <v>0.0568287037</v>
      </c>
      <c r="H117" s="151"/>
      <c r="I117" s="140"/>
      <c r="J117" s="140"/>
      <c r="K117" s="140"/>
      <c r="L117" s="147"/>
      <c r="M117" s="159"/>
      <c r="N117" s="147"/>
      <c r="O117" s="141"/>
      <c r="P117" s="143"/>
      <c r="Q117" s="151"/>
      <c r="R117" s="140"/>
      <c r="S117" s="140"/>
    </row>
    <row r="118" ht="33.75" customHeight="1">
      <c r="A118" s="140"/>
      <c r="B118" s="140"/>
      <c r="C118" s="147">
        <f>IFERROR(__xludf.DUMMYFUNCTION("""COMPUTED_VALUE"""),3008161.0)</f>
        <v>3008161</v>
      </c>
      <c r="D118" s="150" t="str">
        <f>IFERROR(__xludf.DUMMYFUNCTION("""COMPUTED_VALUE"""),"Creating LinkedIn Newsletters")</f>
        <v>Creating LinkedIn Newsletters</v>
      </c>
      <c r="E118" s="147" t="str">
        <f>IFERROR(__xludf.DUMMYFUNCTION("""COMPUTED_VALUE"""),"General")</f>
        <v>General</v>
      </c>
      <c r="F118" s="141" t="str">
        <f>IFERROR(__xludf.DUMMYFUNCTION("""COMPUTED_VALUE"""),"General")</f>
        <v>General</v>
      </c>
      <c r="G118" s="143">
        <f>IFERROR(__xludf.DUMMYFUNCTION("""COMPUTED_VALUE"""),0.014884259259259259)</f>
        <v>0.01488425926</v>
      </c>
      <c r="H118" s="151"/>
      <c r="I118" s="140"/>
      <c r="J118" s="140"/>
      <c r="K118" s="140"/>
      <c r="L118" s="147"/>
      <c r="M118" s="159"/>
      <c r="N118" s="147"/>
      <c r="O118" s="141"/>
      <c r="P118" s="143"/>
      <c r="Q118" s="151"/>
      <c r="R118" s="140"/>
      <c r="S118" s="140"/>
    </row>
    <row r="119" ht="33.75" customHeight="1">
      <c r="A119" s="140"/>
      <c r="B119" s="140"/>
      <c r="C119" s="147">
        <f>IFERROR(__xludf.DUMMYFUNCTION("""COMPUTED_VALUE"""),3017002.0)</f>
        <v>3017002</v>
      </c>
      <c r="D119" s="150" t="str">
        <f>IFERROR(__xludf.DUMMYFUNCTION("""COMPUTED_VALUE"""),"LinkedIn Creator Posting Strategy")</f>
        <v>LinkedIn Creator Posting Strategy</v>
      </c>
      <c r="E119" s="147" t="str">
        <f>IFERROR(__xludf.DUMMYFUNCTION("""COMPUTED_VALUE"""),"General")</f>
        <v>General</v>
      </c>
      <c r="F119" s="141" t="str">
        <f>IFERROR(__xludf.DUMMYFUNCTION("""COMPUTED_VALUE"""),"General")</f>
        <v>General</v>
      </c>
      <c r="G119" s="143">
        <f>IFERROR(__xludf.DUMMYFUNCTION("""COMPUTED_VALUE"""),0.0190625)</f>
        <v>0.0190625</v>
      </c>
      <c r="H119" s="151"/>
      <c r="I119" s="140"/>
      <c r="J119" s="140"/>
      <c r="K119" s="140"/>
      <c r="L119" s="147"/>
      <c r="M119" s="159"/>
      <c r="N119" s="147"/>
      <c r="O119" s="141"/>
      <c r="P119" s="143"/>
      <c r="Q119" s="151"/>
      <c r="R119" s="140"/>
      <c r="S119" s="140"/>
    </row>
    <row r="120" ht="33.75" customHeight="1">
      <c r="A120" s="140"/>
      <c r="B120" s="140"/>
      <c r="C120" s="147">
        <f>IFERROR(__xludf.DUMMYFUNCTION("""COMPUTED_VALUE"""),2834035.0)</f>
        <v>2834035</v>
      </c>
      <c r="D120" s="150" t="str">
        <f>IFERROR(__xludf.DUMMYFUNCTION("""COMPUTED_VALUE"""),"Social Media Marketing Trends")</f>
        <v>Social Media Marketing Trends</v>
      </c>
      <c r="E120" s="147" t="str">
        <f>IFERROR(__xludf.DUMMYFUNCTION("""COMPUTED_VALUE"""),"General")</f>
        <v>General</v>
      </c>
      <c r="F120" s="141" t="str">
        <f>IFERROR(__xludf.DUMMYFUNCTION("""COMPUTED_VALUE"""),"Intermediate")</f>
        <v>Intermediate</v>
      </c>
      <c r="G120" s="143">
        <f>IFERROR(__xludf.DUMMYFUNCTION("""COMPUTED_VALUE"""),0.16467592592592592)</f>
        <v>0.1646759259</v>
      </c>
      <c r="H120" s="151"/>
      <c r="I120" s="140"/>
      <c r="J120" s="140"/>
      <c r="K120" s="140"/>
      <c r="L120" s="147"/>
      <c r="M120" s="159"/>
      <c r="N120" s="147"/>
      <c r="O120" s="141"/>
      <c r="P120" s="143"/>
      <c r="Q120" s="151"/>
      <c r="R120" s="140"/>
      <c r="S120" s="140"/>
    </row>
    <row r="121" ht="33.75" customHeight="1">
      <c r="A121" s="140"/>
      <c r="B121" s="140"/>
      <c r="C121" s="147">
        <f>IFERROR(__xludf.DUMMYFUNCTION("""COMPUTED_VALUE"""),656809.0)</f>
        <v>656809</v>
      </c>
      <c r="D121" s="150" t="str">
        <f>IFERROR(__xludf.DUMMYFUNCTION("""COMPUTED_VALUE"""),"B2B Marketing Foundations: Positioning")</f>
        <v>B2B Marketing Foundations: Positioning</v>
      </c>
      <c r="E121" s="147" t="str">
        <f>IFERROR(__xludf.DUMMYFUNCTION("""COMPUTED_VALUE"""),"General")</f>
        <v>General</v>
      </c>
      <c r="F121" s="141" t="str">
        <f>IFERROR(__xludf.DUMMYFUNCTION("""COMPUTED_VALUE"""),"Intermediate")</f>
        <v>Intermediate</v>
      </c>
      <c r="G121" s="143">
        <f>IFERROR(__xludf.DUMMYFUNCTION("""COMPUTED_VALUE"""),0.04466435185185185)</f>
        <v>0.04466435185</v>
      </c>
      <c r="H121" s="151"/>
      <c r="I121" s="140"/>
      <c r="J121" s="140"/>
      <c r="K121" s="140"/>
      <c r="L121" s="147"/>
      <c r="M121" s="159"/>
      <c r="N121" s="147"/>
      <c r="O121" s="141"/>
      <c r="P121" s="143"/>
      <c r="Q121" s="151"/>
      <c r="R121" s="140"/>
      <c r="S121" s="140"/>
    </row>
    <row r="122" ht="33.75" customHeight="1">
      <c r="A122" s="140"/>
      <c r="B122" s="140"/>
      <c r="C122" s="147">
        <f>IFERROR(__xludf.DUMMYFUNCTION("""COMPUTED_VALUE"""),2808548.0)</f>
        <v>2808548</v>
      </c>
      <c r="D122" s="150" t="str">
        <f>IFERROR(__xludf.DUMMYFUNCTION("""COMPUTED_VALUE"""),"Advertising on Pinterest")</f>
        <v>Advertising on Pinterest</v>
      </c>
      <c r="E122" s="147" t="str">
        <f>IFERROR(__xludf.DUMMYFUNCTION("""COMPUTED_VALUE"""),"General")</f>
        <v>General</v>
      </c>
      <c r="F122" s="141" t="str">
        <f>IFERROR(__xludf.DUMMYFUNCTION("""COMPUTED_VALUE"""),"Intermediate")</f>
        <v>Intermediate</v>
      </c>
      <c r="G122" s="143">
        <f>IFERROR(__xludf.DUMMYFUNCTION("""COMPUTED_VALUE"""),0.041180555555555554)</f>
        <v>0.04118055556</v>
      </c>
      <c r="H122" s="151"/>
      <c r="I122" s="140"/>
      <c r="J122" s="140"/>
      <c r="K122" s="140"/>
      <c r="L122" s="147"/>
      <c r="M122" s="159"/>
      <c r="N122" s="147"/>
      <c r="O122" s="141"/>
      <c r="P122" s="143"/>
      <c r="Q122" s="151"/>
      <c r="R122" s="140"/>
      <c r="S122" s="140"/>
    </row>
    <row r="123" ht="33.75" customHeight="1">
      <c r="A123" s="140"/>
      <c r="B123" s="140"/>
      <c r="C123" s="147">
        <f>IFERROR(__xludf.DUMMYFUNCTION("""COMPUTED_VALUE"""),2849044.0)</f>
        <v>2849044</v>
      </c>
      <c r="D123" s="150" t="str">
        <f>IFERROR(__xludf.DUMMYFUNCTION("""COMPUTED_VALUE"""),"Social Media Monitoring: Strategies and Skills")</f>
        <v>Social Media Monitoring: Strategies and Skills</v>
      </c>
      <c r="E123" s="147" t="str">
        <f>IFERROR(__xludf.DUMMYFUNCTION("""COMPUTED_VALUE"""),"General")</f>
        <v>General</v>
      </c>
      <c r="F123" s="141" t="str">
        <f>IFERROR(__xludf.DUMMYFUNCTION("""COMPUTED_VALUE"""),"Intermediate")</f>
        <v>Intermediate</v>
      </c>
      <c r="G123" s="143">
        <f>IFERROR(__xludf.DUMMYFUNCTION("""COMPUTED_VALUE"""),0.026018518518518517)</f>
        <v>0.02601851852</v>
      </c>
      <c r="H123" s="151"/>
      <c r="I123" s="140"/>
      <c r="J123" s="140"/>
      <c r="K123" s="140"/>
      <c r="L123" s="147"/>
      <c r="M123" s="159"/>
      <c r="N123" s="147"/>
      <c r="O123" s="141"/>
      <c r="P123" s="143"/>
      <c r="Q123" s="151"/>
      <c r="R123" s="140"/>
      <c r="S123" s="140"/>
    </row>
    <row r="124" ht="33.75" customHeight="1">
      <c r="A124" s="140"/>
      <c r="B124" s="140"/>
      <c r="C124" s="147">
        <f>IFERROR(__xludf.DUMMYFUNCTION("""COMPUTED_VALUE"""),2833101.0)</f>
        <v>2833101</v>
      </c>
      <c r="D124" s="150" t="str">
        <f>IFERROR(__xludf.DUMMYFUNCTION("""COMPUTED_VALUE"""),"Content Marketing: ROI")</f>
        <v>Content Marketing: ROI</v>
      </c>
      <c r="E124" s="147" t="str">
        <f>IFERROR(__xludf.DUMMYFUNCTION("""COMPUTED_VALUE"""),"General")</f>
        <v>General</v>
      </c>
      <c r="F124" s="141" t="str">
        <f>IFERROR(__xludf.DUMMYFUNCTION("""COMPUTED_VALUE"""),"Intermediate")</f>
        <v>Intermediate</v>
      </c>
      <c r="G124" s="143">
        <f>IFERROR(__xludf.DUMMYFUNCTION("""COMPUTED_VALUE"""),0.03208333333333333)</f>
        <v>0.03208333333</v>
      </c>
      <c r="H124" s="151"/>
      <c r="I124" s="140"/>
      <c r="J124" s="140"/>
      <c r="K124" s="140"/>
      <c r="L124" s="147"/>
      <c r="M124" s="159"/>
      <c r="N124" s="147"/>
      <c r="O124" s="141"/>
      <c r="P124" s="143"/>
      <c r="Q124" s="151"/>
      <c r="R124" s="140"/>
      <c r="S124" s="140"/>
    </row>
    <row r="125" ht="33.75" customHeight="1">
      <c r="A125" s="140"/>
      <c r="B125" s="140"/>
      <c r="C125" s="147">
        <f>IFERROR(__xludf.DUMMYFUNCTION("""COMPUTED_VALUE"""),2841396.0)</f>
        <v>2841396</v>
      </c>
      <c r="D125" s="150" t="str">
        <f>IFERROR(__xludf.DUMMYFUNCTION("""COMPUTED_VALUE"""),"Email Marketing: Strategy and Optimization")</f>
        <v>Email Marketing: Strategy and Optimization</v>
      </c>
      <c r="E125" s="147" t="str">
        <f>IFERROR(__xludf.DUMMYFUNCTION("""COMPUTED_VALUE"""),"General")</f>
        <v>General</v>
      </c>
      <c r="F125" s="141" t="str">
        <f>IFERROR(__xludf.DUMMYFUNCTION("""COMPUTED_VALUE"""),"Intermediate")</f>
        <v>Intermediate</v>
      </c>
      <c r="G125" s="143">
        <f>IFERROR(__xludf.DUMMYFUNCTION("""COMPUTED_VALUE"""),0.041805555555555554)</f>
        <v>0.04180555556</v>
      </c>
      <c r="H125" s="151"/>
      <c r="I125" s="140"/>
      <c r="J125" s="140"/>
      <c r="K125" s="140"/>
      <c r="L125" s="147"/>
      <c r="M125" s="159"/>
      <c r="N125" s="147"/>
      <c r="O125" s="141"/>
      <c r="P125" s="143"/>
      <c r="Q125" s="151"/>
      <c r="R125" s="140"/>
      <c r="S125" s="140"/>
    </row>
    <row r="126" ht="33.75" customHeight="1">
      <c r="A126" s="140"/>
      <c r="B126" s="140"/>
      <c r="C126" s="147">
        <f>IFERROR(__xludf.DUMMYFUNCTION("""COMPUTED_VALUE"""),2864007.0)</f>
        <v>2864007</v>
      </c>
      <c r="D126" s="150" t="str">
        <f>IFERROR(__xludf.DUMMYFUNCTION("""COMPUTED_VALUE"""),"Advertising on YouTube")</f>
        <v>Advertising on YouTube</v>
      </c>
      <c r="E126" s="147" t="str">
        <f>IFERROR(__xludf.DUMMYFUNCTION("""COMPUTED_VALUE"""),"General")</f>
        <v>General</v>
      </c>
      <c r="F126" s="141" t="str">
        <f>IFERROR(__xludf.DUMMYFUNCTION("""COMPUTED_VALUE"""),"Intermediate")</f>
        <v>Intermediate</v>
      </c>
      <c r="G126" s="143">
        <f>IFERROR(__xludf.DUMMYFUNCTION("""COMPUTED_VALUE"""),0.04417824074074074)</f>
        <v>0.04417824074</v>
      </c>
      <c r="H126" s="151"/>
      <c r="I126" s="140"/>
      <c r="J126" s="140"/>
      <c r="K126" s="140"/>
      <c r="L126" s="147"/>
      <c r="M126" s="159"/>
      <c r="N126" s="147"/>
      <c r="O126" s="141"/>
      <c r="P126" s="143"/>
      <c r="Q126" s="151"/>
      <c r="R126" s="140"/>
      <c r="S126" s="140"/>
    </row>
    <row r="127" ht="33.75" customHeight="1">
      <c r="A127" s="140"/>
      <c r="B127" s="140"/>
      <c r="C127" s="147">
        <f>IFERROR(__xludf.DUMMYFUNCTION("""COMPUTED_VALUE"""),2833073.0)</f>
        <v>2833073</v>
      </c>
      <c r="D127" s="150" t="str">
        <f>IFERROR(__xludf.DUMMYFUNCTION("""COMPUTED_VALUE"""),"Create a Go-to-Market Plan")</f>
        <v>Create a Go-to-Market Plan</v>
      </c>
      <c r="E127" s="147" t="str">
        <f>IFERROR(__xludf.DUMMYFUNCTION("""COMPUTED_VALUE"""),"General")</f>
        <v>General</v>
      </c>
      <c r="F127" s="141" t="str">
        <f>IFERROR(__xludf.DUMMYFUNCTION("""COMPUTED_VALUE"""),"Intermediate")</f>
        <v>Intermediate</v>
      </c>
      <c r="G127" s="143">
        <f>IFERROR(__xludf.DUMMYFUNCTION("""COMPUTED_VALUE"""),0.08354166666666667)</f>
        <v>0.08354166667</v>
      </c>
      <c r="H127" s="151"/>
      <c r="I127" s="140"/>
      <c r="J127" s="140"/>
      <c r="K127" s="140"/>
      <c r="L127" s="147"/>
      <c r="M127" s="159"/>
      <c r="N127" s="147"/>
      <c r="O127" s="141"/>
      <c r="P127" s="143"/>
      <c r="Q127" s="151"/>
      <c r="R127" s="140"/>
      <c r="S127" s="140"/>
    </row>
    <row r="128" ht="33.75" customHeight="1">
      <c r="A128" s="140"/>
      <c r="B128" s="140"/>
      <c r="C128" s="147">
        <f>IFERROR(__xludf.DUMMYFUNCTION("""COMPUTED_VALUE"""),2818029.0)</f>
        <v>2818029</v>
      </c>
      <c r="D128" s="150" t="str">
        <f>IFERROR(__xludf.DUMMYFUNCTION("""COMPUTED_VALUE"""),"Growth Hacking Tips")</f>
        <v>Growth Hacking Tips</v>
      </c>
      <c r="E128" s="147" t="str">
        <f>IFERROR(__xludf.DUMMYFUNCTION("""COMPUTED_VALUE"""),"General")</f>
        <v>General</v>
      </c>
      <c r="F128" s="141" t="str">
        <f>IFERROR(__xludf.DUMMYFUNCTION("""COMPUTED_VALUE"""),"Intermediate")</f>
        <v>Intermediate</v>
      </c>
      <c r="G128" s="143">
        <f>IFERROR(__xludf.DUMMYFUNCTION("""COMPUTED_VALUE"""),0.024826388888888887)</f>
        <v>0.02482638889</v>
      </c>
      <c r="H128" s="151"/>
      <c r="I128" s="140"/>
      <c r="J128" s="140"/>
      <c r="K128" s="140"/>
      <c r="L128" s="147"/>
      <c r="M128" s="159"/>
      <c r="N128" s="147"/>
      <c r="O128" s="141"/>
      <c r="P128" s="143"/>
      <c r="Q128" s="151"/>
      <c r="R128" s="140"/>
      <c r="S128" s="140"/>
    </row>
    <row r="129" ht="33.75" customHeight="1">
      <c r="A129" s="140"/>
      <c r="B129" s="140"/>
      <c r="C129" s="147">
        <f>IFERROR(__xludf.DUMMYFUNCTION("""COMPUTED_VALUE"""),2817189.0)</f>
        <v>2817189</v>
      </c>
      <c r="D129" s="150" t="str">
        <f>IFERROR(__xludf.DUMMYFUNCTION("""COMPUTED_VALUE"""),"Improve SEO for Your Ecommerce Site")</f>
        <v>Improve SEO for Your Ecommerce Site</v>
      </c>
      <c r="E129" s="147" t="str">
        <f>IFERROR(__xludf.DUMMYFUNCTION("""COMPUTED_VALUE"""),"General")</f>
        <v>General</v>
      </c>
      <c r="F129" s="141" t="str">
        <f>IFERROR(__xludf.DUMMYFUNCTION("""COMPUTED_VALUE"""),"Intermediate")</f>
        <v>Intermediate</v>
      </c>
      <c r="G129" s="143">
        <f>IFERROR(__xludf.DUMMYFUNCTION("""COMPUTED_VALUE"""),0.03851851851851852)</f>
        <v>0.03851851852</v>
      </c>
      <c r="H129" s="151"/>
      <c r="I129" s="140"/>
      <c r="J129" s="140"/>
      <c r="K129" s="140"/>
      <c r="L129" s="147"/>
      <c r="M129" s="159"/>
      <c r="N129" s="147"/>
      <c r="O129" s="141"/>
      <c r="P129" s="143"/>
      <c r="Q129" s="151"/>
      <c r="R129" s="140"/>
      <c r="S129" s="140"/>
    </row>
    <row r="130" ht="33.75" customHeight="1">
      <c r="A130" s="140"/>
      <c r="B130" s="140"/>
      <c r="C130" s="147">
        <f>IFERROR(__xludf.DUMMYFUNCTION("""COMPUTED_VALUE"""),2819186.0)</f>
        <v>2819186</v>
      </c>
      <c r="D130" s="150" t="str">
        <f>IFERROR(__xludf.DUMMYFUNCTION("""COMPUTED_VALUE"""),"Social Media Marketing: Strategy and Optimization")</f>
        <v>Social Media Marketing: Strategy and Optimization</v>
      </c>
      <c r="E130" s="147" t="str">
        <f>IFERROR(__xludf.DUMMYFUNCTION("""COMPUTED_VALUE"""),"General")</f>
        <v>General</v>
      </c>
      <c r="F130" s="141" t="str">
        <f>IFERROR(__xludf.DUMMYFUNCTION("""COMPUTED_VALUE"""),"Intermediate")</f>
        <v>Intermediate</v>
      </c>
      <c r="G130" s="143">
        <f>IFERROR(__xludf.DUMMYFUNCTION("""COMPUTED_VALUE"""),0.03815972222222222)</f>
        <v>0.03815972222</v>
      </c>
      <c r="H130" s="151"/>
      <c r="I130" s="140"/>
      <c r="J130" s="140"/>
      <c r="K130" s="140"/>
      <c r="L130" s="147"/>
      <c r="M130" s="159"/>
      <c r="N130" s="147"/>
      <c r="O130" s="141"/>
      <c r="P130" s="143"/>
      <c r="Q130" s="151"/>
      <c r="R130" s="140"/>
      <c r="S130" s="140"/>
    </row>
    <row r="131" ht="33.75" customHeight="1">
      <c r="A131" s="140"/>
      <c r="B131" s="140"/>
      <c r="C131" s="147">
        <f>IFERROR(__xludf.DUMMYFUNCTION("""COMPUTED_VALUE"""),2822059.0)</f>
        <v>2822059</v>
      </c>
      <c r="D131" s="150" t="str">
        <f>IFERROR(__xludf.DUMMYFUNCTION("""COMPUTED_VALUE"""),"SEO: Keyword Strategy")</f>
        <v>SEO: Keyword Strategy</v>
      </c>
      <c r="E131" s="147" t="str">
        <f>IFERROR(__xludf.DUMMYFUNCTION("""COMPUTED_VALUE"""),"General")</f>
        <v>General</v>
      </c>
      <c r="F131" s="141" t="str">
        <f>IFERROR(__xludf.DUMMYFUNCTION("""COMPUTED_VALUE"""),"Intermediate")</f>
        <v>Intermediate</v>
      </c>
      <c r="G131" s="143">
        <f>IFERROR(__xludf.DUMMYFUNCTION("""COMPUTED_VALUE"""),0.06682870370370371)</f>
        <v>0.0668287037</v>
      </c>
      <c r="H131" s="151"/>
      <c r="I131" s="140"/>
      <c r="J131" s="140"/>
      <c r="K131" s="140"/>
      <c r="L131" s="147"/>
      <c r="M131" s="159"/>
      <c r="N131" s="147"/>
      <c r="O131" s="141"/>
      <c r="P131" s="143"/>
      <c r="Q131" s="151"/>
      <c r="R131" s="140"/>
      <c r="S131" s="140"/>
    </row>
    <row r="132" ht="33.75" customHeight="1">
      <c r="A132" s="140"/>
      <c r="B132" s="140"/>
      <c r="C132" s="147">
        <f>IFERROR(__xludf.DUMMYFUNCTION("""COMPUTED_VALUE"""),2823073.0)</f>
        <v>2823073</v>
      </c>
      <c r="D132" s="150" t="str">
        <f>IFERROR(__xludf.DUMMYFUNCTION("""COMPUTED_VALUE"""),"SEO: Videos")</f>
        <v>SEO: Videos</v>
      </c>
      <c r="E132" s="147" t="str">
        <f>IFERROR(__xludf.DUMMYFUNCTION("""COMPUTED_VALUE"""),"General")</f>
        <v>General</v>
      </c>
      <c r="F132" s="141" t="str">
        <f>IFERROR(__xludf.DUMMYFUNCTION("""COMPUTED_VALUE"""),"Intermediate")</f>
        <v>Intermediate</v>
      </c>
      <c r="G132" s="143">
        <f>IFERROR(__xludf.DUMMYFUNCTION("""COMPUTED_VALUE"""),0.04652777777777778)</f>
        <v>0.04652777778</v>
      </c>
      <c r="H132" s="151"/>
      <c r="I132" s="140"/>
      <c r="J132" s="140"/>
      <c r="K132" s="140"/>
      <c r="L132" s="147"/>
      <c r="M132" s="159"/>
      <c r="N132" s="147"/>
      <c r="O132" s="141"/>
      <c r="P132" s="143"/>
      <c r="Q132" s="151"/>
      <c r="R132" s="140"/>
      <c r="S132" s="140"/>
    </row>
    <row r="133" ht="33.75" customHeight="1">
      <c r="A133" s="140"/>
      <c r="B133" s="140"/>
      <c r="C133" s="147">
        <f>IFERROR(__xludf.DUMMYFUNCTION("""COMPUTED_VALUE"""),2226728.0)</f>
        <v>2226728</v>
      </c>
      <c r="D133" s="150" t="str">
        <f>IFERROR(__xludf.DUMMYFUNCTION("""COMPUTED_VALUE"""),"Aligning Sales and Marketing")</f>
        <v>Aligning Sales and Marketing</v>
      </c>
      <c r="E133" s="147" t="str">
        <f>IFERROR(__xludf.DUMMYFUNCTION("""COMPUTED_VALUE"""),"General")</f>
        <v>General</v>
      </c>
      <c r="F133" s="141" t="str">
        <f>IFERROR(__xludf.DUMMYFUNCTION("""COMPUTED_VALUE"""),"Intermediate")</f>
        <v>Intermediate</v>
      </c>
      <c r="G133" s="143">
        <f>IFERROR(__xludf.DUMMYFUNCTION("""COMPUTED_VALUE"""),0.02494212962962963)</f>
        <v>0.02494212963</v>
      </c>
      <c r="H133" s="151"/>
      <c r="I133" s="140"/>
      <c r="J133" s="140"/>
      <c r="K133" s="140"/>
      <c r="L133" s="147"/>
      <c r="M133" s="159"/>
      <c r="N133" s="147"/>
      <c r="O133" s="141"/>
      <c r="P133" s="143"/>
      <c r="Q133" s="151"/>
      <c r="R133" s="140"/>
      <c r="S133" s="140"/>
    </row>
    <row r="134" ht="33.75" customHeight="1">
      <c r="A134" s="140"/>
      <c r="B134" s="140"/>
      <c r="C134" s="147">
        <f>IFERROR(__xludf.DUMMYFUNCTION("""COMPUTED_VALUE"""),2242052.0)</f>
        <v>2242052</v>
      </c>
      <c r="D134" s="150" t="str">
        <f>IFERROR(__xludf.DUMMYFUNCTION("""COMPUTED_VALUE"""),"Python for Marketing")</f>
        <v>Python for Marketing</v>
      </c>
      <c r="E134" s="147" t="str">
        <f>IFERROR(__xludf.DUMMYFUNCTION("""COMPUTED_VALUE"""),"General")</f>
        <v>General</v>
      </c>
      <c r="F134" s="141" t="str">
        <f>IFERROR(__xludf.DUMMYFUNCTION("""COMPUTED_VALUE"""),"Intermediate")</f>
        <v>Intermediate</v>
      </c>
      <c r="G134" s="143">
        <f>IFERROR(__xludf.DUMMYFUNCTION("""COMPUTED_VALUE"""),0.07243055555555555)</f>
        <v>0.07243055556</v>
      </c>
      <c r="H134" s="151"/>
      <c r="I134" s="140"/>
      <c r="J134" s="140"/>
      <c r="K134" s="140"/>
      <c r="L134" s="147"/>
      <c r="M134" s="159"/>
      <c r="N134" s="147"/>
      <c r="O134" s="141"/>
      <c r="P134" s="143"/>
      <c r="Q134" s="151"/>
      <c r="R134" s="140"/>
      <c r="S134" s="140"/>
    </row>
    <row r="135" ht="33.75" customHeight="1">
      <c r="A135" s="140"/>
      <c r="B135" s="140"/>
      <c r="C135" s="147">
        <f>IFERROR(__xludf.DUMMYFUNCTION("""COMPUTED_VALUE"""),2839084.0)</f>
        <v>2839084</v>
      </c>
      <c r="D135" s="150" t="str">
        <f>IFERROR(__xludf.DUMMYFUNCTION("""COMPUTED_VALUE"""),"17 Questions to Help Improve Your Marketing")</f>
        <v>17 Questions to Help Improve Your Marketing</v>
      </c>
      <c r="E135" s="147" t="str">
        <f>IFERROR(__xludf.DUMMYFUNCTION("""COMPUTED_VALUE"""),"General")</f>
        <v>General</v>
      </c>
      <c r="F135" s="141" t="str">
        <f>IFERROR(__xludf.DUMMYFUNCTION("""COMPUTED_VALUE"""),"Intermediate")</f>
        <v>Intermediate</v>
      </c>
      <c r="G135" s="143">
        <f>IFERROR(__xludf.DUMMYFUNCTION("""COMPUTED_VALUE"""),0.018761574074074073)</f>
        <v>0.01876157407</v>
      </c>
      <c r="H135" s="151"/>
      <c r="I135" s="140"/>
      <c r="J135" s="140"/>
      <c r="K135" s="140"/>
      <c r="L135" s="147"/>
      <c r="M135" s="159"/>
      <c r="N135" s="147"/>
      <c r="O135" s="141"/>
      <c r="P135" s="143"/>
      <c r="Q135" s="151"/>
      <c r="R135" s="140"/>
      <c r="S135" s="140"/>
    </row>
    <row r="136" ht="33.75" customHeight="1">
      <c r="A136" s="140"/>
      <c r="B136" s="140"/>
      <c r="C136" s="147">
        <f>IFERROR(__xludf.DUMMYFUNCTION("""COMPUTED_VALUE"""),2833046.0)</f>
        <v>2833046</v>
      </c>
      <c r="D136" s="150" t="str">
        <f>IFERROR(__xludf.DUMMYFUNCTION("""COMPUTED_VALUE"""),"Employer Branding on LinkedIn")</f>
        <v>Employer Branding on LinkedIn</v>
      </c>
      <c r="E136" s="147" t="str">
        <f>IFERROR(__xludf.DUMMYFUNCTION("""COMPUTED_VALUE"""),"General")</f>
        <v>General</v>
      </c>
      <c r="F136" s="141" t="str">
        <f>IFERROR(__xludf.DUMMYFUNCTION("""COMPUTED_VALUE"""),"Intermediate")</f>
        <v>Intermediate</v>
      </c>
      <c r="G136" s="143">
        <f>IFERROR(__xludf.DUMMYFUNCTION("""COMPUTED_VALUE"""),0.03150462962962963)</f>
        <v>0.03150462963</v>
      </c>
      <c r="H136" s="151"/>
      <c r="I136" s="140"/>
      <c r="J136" s="140"/>
      <c r="K136" s="140"/>
      <c r="L136" s="147"/>
      <c r="M136" s="159"/>
      <c r="N136" s="147"/>
      <c r="O136" s="141"/>
      <c r="P136" s="143"/>
      <c r="Q136" s="151"/>
      <c r="R136" s="140"/>
      <c r="S136" s="140"/>
    </row>
    <row r="137" ht="33.75" customHeight="1">
      <c r="A137" s="140"/>
      <c r="B137" s="140"/>
      <c r="C137" s="147">
        <f>IFERROR(__xludf.DUMMYFUNCTION("""COMPUTED_VALUE"""),2849045.0)</f>
        <v>2849045</v>
      </c>
      <c r="D137" s="150" t="str">
        <f>IFERROR(__xludf.DUMMYFUNCTION("""COMPUTED_VALUE"""),"Become a Marketing Entrepreneur")</f>
        <v>Become a Marketing Entrepreneur</v>
      </c>
      <c r="E137" s="147" t="str">
        <f>IFERROR(__xludf.DUMMYFUNCTION("""COMPUTED_VALUE"""),"General")</f>
        <v>General</v>
      </c>
      <c r="F137" s="141" t="str">
        <f>IFERROR(__xludf.DUMMYFUNCTION("""COMPUTED_VALUE"""),"Intermediate")</f>
        <v>Intermediate</v>
      </c>
      <c r="G137" s="143">
        <f>IFERROR(__xludf.DUMMYFUNCTION("""COMPUTED_VALUE"""),0.018506944444444444)</f>
        <v>0.01850694444</v>
      </c>
      <c r="H137" s="151"/>
      <c r="I137" s="140"/>
      <c r="J137" s="140"/>
      <c r="K137" s="140"/>
      <c r="L137" s="147"/>
      <c r="M137" s="159"/>
      <c r="N137" s="147"/>
      <c r="O137" s="141"/>
      <c r="P137" s="143"/>
      <c r="Q137" s="151"/>
      <c r="R137" s="140"/>
      <c r="S137" s="140"/>
    </row>
    <row r="138" ht="33.75" customHeight="1">
      <c r="A138" s="140"/>
      <c r="B138" s="140"/>
      <c r="C138" s="147">
        <f>IFERROR(__xludf.DUMMYFUNCTION("""COMPUTED_VALUE"""),2874017.0)</f>
        <v>2874017</v>
      </c>
      <c r="D138" s="150" t="str">
        <f>IFERROR(__xludf.DUMMYFUNCTION("""COMPUTED_VALUE"""),"Market Research: Qualitative")</f>
        <v>Market Research: Qualitative</v>
      </c>
      <c r="E138" s="147" t="str">
        <f>IFERROR(__xludf.DUMMYFUNCTION("""COMPUTED_VALUE"""),"General")</f>
        <v>General</v>
      </c>
      <c r="F138" s="141" t="str">
        <f>IFERROR(__xludf.DUMMYFUNCTION("""COMPUTED_VALUE"""),"Intermediate")</f>
        <v>Intermediate</v>
      </c>
      <c r="G138" s="143">
        <f>IFERROR(__xludf.DUMMYFUNCTION("""COMPUTED_VALUE"""),0.0621875)</f>
        <v>0.0621875</v>
      </c>
      <c r="H138" s="151"/>
      <c r="I138" s="140"/>
      <c r="J138" s="140"/>
      <c r="K138" s="140"/>
      <c r="L138" s="147"/>
      <c r="M138" s="159"/>
      <c r="N138" s="147"/>
      <c r="O138" s="141"/>
      <c r="P138" s="143"/>
      <c r="Q138" s="151"/>
      <c r="R138" s="140"/>
      <c r="S138" s="140"/>
    </row>
    <row r="139" ht="33.75" customHeight="1">
      <c r="A139" s="140"/>
      <c r="B139" s="140"/>
      <c r="C139" s="147">
        <f>IFERROR(__xludf.DUMMYFUNCTION("""COMPUTED_VALUE"""),2834042.0)</f>
        <v>2834042</v>
      </c>
      <c r="D139" s="150" t="str">
        <f>IFERROR(__xludf.DUMMYFUNCTION("""COMPUTED_VALUE"""),"Social Selling: Reaching Prospects")</f>
        <v>Social Selling: Reaching Prospects</v>
      </c>
      <c r="E139" s="147" t="str">
        <f>IFERROR(__xludf.DUMMYFUNCTION("""COMPUTED_VALUE"""),"General")</f>
        <v>General</v>
      </c>
      <c r="F139" s="141" t="str">
        <f>IFERROR(__xludf.DUMMYFUNCTION("""COMPUTED_VALUE"""),"Intermediate")</f>
        <v>Intermediate</v>
      </c>
      <c r="G139" s="143">
        <f>IFERROR(__xludf.DUMMYFUNCTION("""COMPUTED_VALUE"""),0.03305555555555555)</f>
        <v>0.03305555556</v>
      </c>
      <c r="H139" s="151"/>
      <c r="I139" s="140"/>
      <c r="J139" s="140"/>
      <c r="K139" s="140"/>
      <c r="L139" s="147"/>
      <c r="M139" s="159"/>
      <c r="N139" s="147"/>
      <c r="O139" s="141"/>
      <c r="P139" s="143"/>
      <c r="Q139" s="151"/>
      <c r="R139" s="140"/>
      <c r="S139" s="140"/>
    </row>
    <row r="140" ht="33.75" customHeight="1">
      <c r="A140" s="140"/>
      <c r="B140" s="140"/>
      <c r="C140" s="147">
        <f>IFERROR(__xludf.DUMMYFUNCTION("""COMPUTED_VALUE"""),2849004.0)</f>
        <v>2849004</v>
      </c>
      <c r="D140" s="150" t="str">
        <f>IFERROR(__xludf.DUMMYFUNCTION("""COMPUTED_VALUE"""),"SEO: Ecommerce Strategies")</f>
        <v>SEO: Ecommerce Strategies</v>
      </c>
      <c r="E140" s="147" t="str">
        <f>IFERROR(__xludf.DUMMYFUNCTION("""COMPUTED_VALUE"""),"General")</f>
        <v>General</v>
      </c>
      <c r="F140" s="141" t="str">
        <f>IFERROR(__xludf.DUMMYFUNCTION("""COMPUTED_VALUE"""),"Intermediate")</f>
        <v>Intermediate</v>
      </c>
      <c r="G140" s="143">
        <f>IFERROR(__xludf.DUMMYFUNCTION("""COMPUTED_VALUE"""),0.0434375)</f>
        <v>0.0434375</v>
      </c>
      <c r="H140" s="151"/>
      <c r="I140" s="140"/>
      <c r="J140" s="140"/>
      <c r="K140" s="140"/>
      <c r="L140" s="147"/>
      <c r="M140" s="159"/>
      <c r="N140" s="147"/>
      <c r="O140" s="141"/>
      <c r="P140" s="143"/>
      <c r="Q140" s="151"/>
      <c r="R140" s="140"/>
      <c r="S140" s="140"/>
    </row>
    <row r="141" ht="33.75" customHeight="1">
      <c r="A141" s="140"/>
      <c r="B141" s="140"/>
      <c r="C141" s="147">
        <f>IFERROR(__xludf.DUMMYFUNCTION("""COMPUTED_VALUE"""),2875239.0)</f>
        <v>2875239</v>
      </c>
      <c r="D141" s="150" t="str">
        <f>IFERROR(__xludf.DUMMYFUNCTION("""COMPUTED_VALUE"""),"Remarketing Strategies with Google Ads and Analytics")</f>
        <v>Remarketing Strategies with Google Ads and Analytics</v>
      </c>
      <c r="E141" s="147" t="str">
        <f>IFERROR(__xludf.DUMMYFUNCTION("""COMPUTED_VALUE"""),"General")</f>
        <v>General</v>
      </c>
      <c r="F141" s="141" t="str">
        <f>IFERROR(__xludf.DUMMYFUNCTION("""COMPUTED_VALUE"""),"Intermediate")</f>
        <v>Intermediate</v>
      </c>
      <c r="G141" s="143">
        <f>IFERROR(__xludf.DUMMYFUNCTION("""COMPUTED_VALUE"""),0.04268518518518519)</f>
        <v>0.04268518519</v>
      </c>
      <c r="H141" s="151"/>
      <c r="I141" s="140"/>
      <c r="J141" s="140"/>
      <c r="K141" s="140"/>
      <c r="L141" s="147"/>
      <c r="M141" s="159"/>
      <c r="N141" s="147"/>
      <c r="O141" s="141"/>
      <c r="P141" s="143"/>
      <c r="Q141" s="151"/>
      <c r="R141" s="140"/>
      <c r="S141" s="140"/>
    </row>
    <row r="142" ht="33.75" customHeight="1">
      <c r="A142" s="140"/>
      <c r="B142" s="140"/>
      <c r="C142" s="147">
        <f>IFERROR(__xludf.DUMMYFUNCTION("""COMPUTED_VALUE"""),2875242.0)</f>
        <v>2875242</v>
      </c>
      <c r="D142" s="150" t="str">
        <f>IFERROR(__xludf.DUMMYFUNCTION("""COMPUTED_VALUE"""),"Technical SEO")</f>
        <v>Technical SEO</v>
      </c>
      <c r="E142" s="147" t="str">
        <f>IFERROR(__xludf.DUMMYFUNCTION("""COMPUTED_VALUE"""),"General")</f>
        <v>General</v>
      </c>
      <c r="F142" s="141" t="str">
        <f>IFERROR(__xludf.DUMMYFUNCTION("""COMPUTED_VALUE"""),"Intermediate")</f>
        <v>Intermediate</v>
      </c>
      <c r="G142" s="143">
        <f>IFERROR(__xludf.DUMMYFUNCTION("""COMPUTED_VALUE"""),0.05483796296296296)</f>
        <v>0.05483796296</v>
      </c>
      <c r="H142" s="151"/>
      <c r="I142" s="140"/>
      <c r="J142" s="140"/>
      <c r="K142" s="140"/>
      <c r="L142" s="147"/>
      <c r="M142" s="159"/>
      <c r="N142" s="147"/>
      <c r="O142" s="141"/>
      <c r="P142" s="143"/>
      <c r="Q142" s="151"/>
      <c r="R142" s="140"/>
      <c r="S142" s="140"/>
    </row>
    <row r="143" ht="33.75" customHeight="1">
      <c r="A143" s="140"/>
      <c r="B143" s="140"/>
      <c r="C143" s="147">
        <f>IFERROR(__xludf.DUMMYFUNCTION("""COMPUTED_VALUE"""),2882048.0)</f>
        <v>2882048</v>
      </c>
      <c r="D143" s="150" t="str">
        <f>IFERROR(__xludf.DUMMYFUNCTION("""COMPUTED_VALUE"""),"Social Media Marketing: ROI")</f>
        <v>Social Media Marketing: ROI</v>
      </c>
      <c r="E143" s="147" t="str">
        <f>IFERROR(__xludf.DUMMYFUNCTION("""COMPUTED_VALUE"""),"General")</f>
        <v>General</v>
      </c>
      <c r="F143" s="141" t="str">
        <f>IFERROR(__xludf.DUMMYFUNCTION("""COMPUTED_VALUE"""),"Intermediate")</f>
        <v>Intermediate</v>
      </c>
      <c r="G143" s="143">
        <f>IFERROR(__xludf.DUMMYFUNCTION("""COMPUTED_VALUE"""),0.048541666666666664)</f>
        <v>0.04854166667</v>
      </c>
      <c r="H143" s="151"/>
      <c r="I143" s="140"/>
      <c r="J143" s="140"/>
      <c r="K143" s="140"/>
      <c r="L143" s="147"/>
      <c r="M143" s="159"/>
      <c r="N143" s="147"/>
      <c r="O143" s="141"/>
      <c r="P143" s="143"/>
      <c r="Q143" s="151"/>
      <c r="R143" s="140"/>
      <c r="S143" s="140"/>
    </row>
    <row r="144" ht="33.75" customHeight="1">
      <c r="A144" s="140"/>
      <c r="B144" s="140"/>
      <c r="C144" s="147">
        <f>IFERROR(__xludf.DUMMYFUNCTION("""COMPUTED_VALUE"""),2886001.0)</f>
        <v>2886001</v>
      </c>
      <c r="D144" s="150" t="str">
        <f>IFERROR(__xludf.DUMMYFUNCTION("""COMPUTED_VALUE"""),"Consumer Behavior Trends: Meet the Postmodern Consumer")</f>
        <v>Consumer Behavior Trends: Meet the Postmodern Consumer</v>
      </c>
      <c r="E144" s="147" t="str">
        <f>IFERROR(__xludf.DUMMYFUNCTION("""COMPUTED_VALUE"""),"General")</f>
        <v>General</v>
      </c>
      <c r="F144" s="141" t="str">
        <f>IFERROR(__xludf.DUMMYFUNCTION("""COMPUTED_VALUE"""),"Intermediate")</f>
        <v>Intermediate</v>
      </c>
      <c r="G144" s="143">
        <f>IFERROR(__xludf.DUMMYFUNCTION("""COMPUTED_VALUE"""),0.04569444444444445)</f>
        <v>0.04569444444</v>
      </c>
      <c r="H144" s="151"/>
      <c r="I144" s="140"/>
      <c r="J144" s="140"/>
      <c r="K144" s="140"/>
      <c r="L144" s="147"/>
      <c r="M144" s="159"/>
      <c r="N144" s="147"/>
      <c r="O144" s="141"/>
      <c r="P144" s="143"/>
      <c r="Q144" s="151"/>
      <c r="R144" s="140"/>
      <c r="S144" s="140"/>
    </row>
    <row r="145" ht="33.75" customHeight="1">
      <c r="A145" s="140"/>
      <c r="B145" s="140"/>
      <c r="C145" s="147">
        <f>IFERROR(__xludf.DUMMYFUNCTION("""COMPUTED_VALUE"""),2874008.0)</f>
        <v>2874008</v>
      </c>
      <c r="D145" s="150" t="str">
        <f>IFERROR(__xludf.DUMMYFUNCTION("""COMPUTED_VALUE"""),"Marketing: Copywriting for Social Media")</f>
        <v>Marketing: Copywriting for Social Media</v>
      </c>
      <c r="E145" s="147" t="str">
        <f>IFERROR(__xludf.DUMMYFUNCTION("""COMPUTED_VALUE"""),"General")</f>
        <v>General</v>
      </c>
      <c r="F145" s="141" t="str">
        <f>IFERROR(__xludf.DUMMYFUNCTION("""COMPUTED_VALUE"""),"Intermediate")</f>
        <v>Intermediate</v>
      </c>
      <c r="G145" s="143">
        <f>IFERROR(__xludf.DUMMYFUNCTION("""COMPUTED_VALUE"""),0.037280092592592594)</f>
        <v>0.03728009259</v>
      </c>
      <c r="H145" s="151"/>
      <c r="I145" s="140"/>
      <c r="J145" s="140"/>
      <c r="K145" s="140"/>
      <c r="L145" s="147"/>
      <c r="M145" s="159"/>
      <c r="N145" s="147"/>
      <c r="O145" s="141"/>
      <c r="P145" s="143"/>
      <c r="Q145" s="151"/>
      <c r="R145" s="140"/>
      <c r="S145" s="140"/>
    </row>
    <row r="146" ht="33.75" customHeight="1">
      <c r="A146" s="140"/>
      <c r="B146" s="140"/>
      <c r="C146" s="147">
        <f>IFERROR(__xludf.DUMMYFUNCTION("""COMPUTED_VALUE"""),2421500.0)</f>
        <v>2421500</v>
      </c>
      <c r="D146" s="150" t="str">
        <f>IFERROR(__xludf.DUMMYFUNCTION("""COMPUTED_VALUE"""),"Augmented Reality Marketing")</f>
        <v>Augmented Reality Marketing</v>
      </c>
      <c r="E146" s="147" t="str">
        <f>IFERROR(__xludf.DUMMYFUNCTION("""COMPUTED_VALUE"""),"General")</f>
        <v>General</v>
      </c>
      <c r="F146" s="141" t="str">
        <f>IFERROR(__xludf.DUMMYFUNCTION("""COMPUTED_VALUE"""),"Intermediate")</f>
        <v>Intermediate</v>
      </c>
      <c r="G146" s="143">
        <f>IFERROR(__xludf.DUMMYFUNCTION("""COMPUTED_VALUE"""),0.012118055555555556)</f>
        <v>0.01211805556</v>
      </c>
      <c r="H146" s="151"/>
      <c r="I146" s="140"/>
      <c r="J146" s="140"/>
      <c r="K146" s="140"/>
      <c r="L146" s="147"/>
      <c r="M146" s="159"/>
      <c r="N146" s="147"/>
      <c r="O146" s="141"/>
      <c r="P146" s="143"/>
      <c r="Q146" s="151"/>
      <c r="R146" s="140"/>
      <c r="S146" s="140"/>
    </row>
    <row r="147" ht="33.75" customHeight="1">
      <c r="A147" s="140"/>
      <c r="B147" s="140"/>
      <c r="C147" s="147">
        <f>IFERROR(__xludf.DUMMYFUNCTION("""COMPUTED_VALUE"""),2426262.0)</f>
        <v>2426262</v>
      </c>
      <c r="D147" s="150" t="str">
        <f>IFERROR(__xludf.DUMMYFUNCTION("""COMPUTED_VALUE"""),"Lead Generation: Multichannel PPC Strategy")</f>
        <v>Lead Generation: Multichannel PPC Strategy</v>
      </c>
      <c r="E147" s="147" t="str">
        <f>IFERROR(__xludf.DUMMYFUNCTION("""COMPUTED_VALUE"""),"General")</f>
        <v>General</v>
      </c>
      <c r="F147" s="141" t="str">
        <f>IFERROR(__xludf.DUMMYFUNCTION("""COMPUTED_VALUE"""),"Intermediate")</f>
        <v>Intermediate</v>
      </c>
      <c r="G147" s="143">
        <f>IFERROR(__xludf.DUMMYFUNCTION("""COMPUTED_VALUE"""),0.036319444444444446)</f>
        <v>0.03631944444</v>
      </c>
      <c r="H147" s="151"/>
      <c r="I147" s="140"/>
      <c r="J147" s="140"/>
      <c r="K147" s="140"/>
      <c r="L147" s="147"/>
      <c r="M147" s="159"/>
      <c r="N147" s="147"/>
      <c r="O147" s="141"/>
      <c r="P147" s="143"/>
      <c r="Q147" s="151"/>
      <c r="R147" s="140"/>
      <c r="S147" s="140"/>
    </row>
    <row r="148" ht="33.75" customHeight="1">
      <c r="A148" s="140"/>
      <c r="B148" s="140"/>
      <c r="C148" s="147">
        <f>IFERROR(__xludf.DUMMYFUNCTION("""COMPUTED_VALUE"""),2892593.0)</f>
        <v>2892593</v>
      </c>
      <c r="D148" s="150" t="str">
        <f>IFERROR(__xludf.DUMMYFUNCTION("""COMPUTED_VALUE"""),"Marketing Attribution and Mix Modeling")</f>
        <v>Marketing Attribution and Mix Modeling</v>
      </c>
      <c r="E148" s="147" t="str">
        <f>IFERROR(__xludf.DUMMYFUNCTION("""COMPUTED_VALUE"""),"General")</f>
        <v>General</v>
      </c>
      <c r="F148" s="141" t="str">
        <f>IFERROR(__xludf.DUMMYFUNCTION("""COMPUTED_VALUE"""),"Intermediate")</f>
        <v>Intermediate</v>
      </c>
      <c r="G148" s="143">
        <f>IFERROR(__xludf.DUMMYFUNCTION("""COMPUTED_VALUE"""),0.06872685185185186)</f>
        <v>0.06872685185</v>
      </c>
      <c r="H148" s="151"/>
      <c r="I148" s="140"/>
      <c r="J148" s="140"/>
      <c r="K148" s="140"/>
      <c r="L148" s="147"/>
      <c r="M148" s="159"/>
      <c r="N148" s="147"/>
      <c r="O148" s="141"/>
      <c r="P148" s="143"/>
      <c r="Q148" s="151"/>
      <c r="R148" s="140"/>
      <c r="S148" s="140"/>
    </row>
    <row r="149" ht="33.75" customHeight="1">
      <c r="A149" s="140"/>
      <c r="B149" s="140"/>
      <c r="C149" s="147"/>
      <c r="D149" s="159"/>
      <c r="E149" s="147"/>
      <c r="F149" s="141"/>
      <c r="G149" s="143"/>
      <c r="H149" s="151"/>
      <c r="I149" s="140"/>
      <c r="J149" s="140"/>
      <c r="K149" s="140"/>
      <c r="L149" s="147"/>
      <c r="M149" s="159"/>
      <c r="N149" s="147"/>
      <c r="O149" s="141"/>
      <c r="P149" s="143"/>
      <c r="Q149" s="151"/>
      <c r="R149" s="140"/>
      <c r="S149" s="140"/>
    </row>
    <row r="150" ht="33.75" customHeight="1">
      <c r="A150" s="140"/>
      <c r="B150" s="140"/>
      <c r="C150" s="147"/>
      <c r="D150" s="159"/>
      <c r="E150" s="147"/>
      <c r="F150" s="141"/>
      <c r="G150" s="143"/>
      <c r="H150" s="151"/>
      <c r="I150" s="140"/>
      <c r="J150" s="140"/>
      <c r="K150" s="140"/>
      <c r="L150" s="147"/>
      <c r="M150" s="159"/>
      <c r="N150" s="147"/>
      <c r="O150" s="141"/>
      <c r="P150" s="143"/>
      <c r="Q150" s="151"/>
      <c r="R150" s="140"/>
      <c r="S150" s="140"/>
    </row>
    <row r="151" ht="33.75" customHeight="1">
      <c r="A151" s="140"/>
      <c r="B151" s="140"/>
      <c r="C151" s="147"/>
      <c r="D151" s="159"/>
      <c r="E151" s="147"/>
      <c r="F151" s="141"/>
      <c r="G151" s="143"/>
      <c r="H151" s="151"/>
      <c r="I151" s="140"/>
      <c r="J151" s="140"/>
      <c r="K151" s="140"/>
      <c r="L151" s="147"/>
      <c r="M151" s="159"/>
      <c r="N151" s="147"/>
      <c r="O151" s="141"/>
      <c r="P151" s="143"/>
      <c r="Q151" s="151"/>
      <c r="R151" s="140"/>
      <c r="S151" s="140"/>
    </row>
    <row r="152" ht="33.75" customHeight="1">
      <c r="A152" s="140"/>
      <c r="B152" s="140"/>
      <c r="C152" s="147"/>
      <c r="D152" s="159"/>
      <c r="E152" s="147"/>
      <c r="F152" s="141"/>
      <c r="G152" s="143"/>
      <c r="H152" s="151"/>
      <c r="I152" s="140"/>
      <c r="J152" s="140"/>
      <c r="K152" s="140"/>
      <c r="L152" s="147"/>
      <c r="M152" s="159"/>
      <c r="N152" s="147"/>
      <c r="O152" s="141"/>
      <c r="P152" s="143"/>
      <c r="Q152" s="151"/>
      <c r="R152" s="140"/>
      <c r="S152" s="140"/>
    </row>
    <row r="153" ht="33.75" customHeight="1">
      <c r="A153" s="140"/>
      <c r="B153" s="140"/>
      <c r="C153" s="147"/>
      <c r="D153" s="159"/>
      <c r="E153" s="147"/>
      <c r="F153" s="141"/>
      <c r="G153" s="143"/>
      <c r="H153" s="151"/>
      <c r="I153" s="140"/>
      <c r="J153" s="140"/>
      <c r="K153" s="140"/>
      <c r="L153" s="147"/>
      <c r="M153" s="159"/>
      <c r="N153" s="147"/>
      <c r="O153" s="141"/>
      <c r="P153" s="143"/>
      <c r="Q153" s="151"/>
      <c r="R153" s="140"/>
      <c r="S153" s="140"/>
    </row>
    <row r="154" ht="33.75" customHeight="1">
      <c r="A154" s="140"/>
      <c r="B154" s="140"/>
      <c r="C154" s="147"/>
      <c r="D154" s="159"/>
      <c r="E154" s="147"/>
      <c r="F154" s="141"/>
      <c r="G154" s="143"/>
      <c r="H154" s="151"/>
      <c r="I154" s="140"/>
      <c r="J154" s="140"/>
      <c r="K154" s="140"/>
      <c r="L154" s="147"/>
      <c r="M154" s="159"/>
      <c r="N154" s="147"/>
      <c r="O154" s="141"/>
      <c r="P154" s="143"/>
      <c r="Q154" s="151"/>
      <c r="R154" s="140"/>
      <c r="S154" s="140"/>
    </row>
    <row r="155" ht="33.75" customHeight="1">
      <c r="A155" s="140"/>
      <c r="B155" s="140"/>
      <c r="C155" s="147"/>
      <c r="D155" s="159"/>
      <c r="E155" s="147"/>
      <c r="F155" s="141"/>
      <c r="G155" s="143"/>
      <c r="H155" s="151"/>
      <c r="I155" s="140"/>
      <c r="J155" s="140"/>
      <c r="K155" s="140"/>
      <c r="L155" s="147"/>
      <c r="M155" s="159"/>
      <c r="N155" s="147"/>
      <c r="O155" s="141"/>
      <c r="P155" s="143"/>
      <c r="Q155" s="151"/>
      <c r="R155" s="140"/>
      <c r="S155" s="140"/>
    </row>
    <row r="156" ht="33.75" customHeight="1">
      <c r="A156" s="140"/>
      <c r="B156" s="140"/>
      <c r="C156" s="147"/>
      <c r="D156" s="159"/>
      <c r="E156" s="147"/>
      <c r="F156" s="141"/>
      <c r="G156" s="143"/>
      <c r="H156" s="151"/>
      <c r="I156" s="140"/>
      <c r="J156" s="140"/>
      <c r="K156" s="140"/>
      <c r="L156" s="147"/>
      <c r="M156" s="159"/>
      <c r="N156" s="147"/>
      <c r="O156" s="141"/>
      <c r="P156" s="143"/>
      <c r="Q156" s="151"/>
      <c r="R156" s="140"/>
      <c r="S156" s="140"/>
    </row>
    <row r="157" ht="33.75" customHeight="1">
      <c r="A157" s="140"/>
      <c r="B157" s="140"/>
      <c r="C157" s="147"/>
      <c r="D157" s="159"/>
      <c r="E157" s="147"/>
      <c r="F157" s="141"/>
      <c r="G157" s="143"/>
      <c r="H157" s="151"/>
      <c r="I157" s="140"/>
      <c r="J157" s="140"/>
      <c r="K157" s="140"/>
      <c r="L157" s="147"/>
      <c r="M157" s="159"/>
      <c r="N157" s="147"/>
      <c r="O157" s="141"/>
      <c r="P157" s="143"/>
      <c r="Q157" s="151"/>
      <c r="R157" s="140"/>
      <c r="S157" s="140"/>
    </row>
    <row r="158">
      <c r="A158" s="154"/>
      <c r="B158" s="154"/>
      <c r="C158" s="155"/>
      <c r="D158" s="156"/>
      <c r="E158" s="155"/>
      <c r="F158" s="155"/>
      <c r="G158" s="155"/>
      <c r="H158" s="157"/>
      <c r="I158" s="154"/>
      <c r="J158" s="154"/>
      <c r="K158" s="154"/>
      <c r="L158" s="155"/>
      <c r="M158" s="156"/>
      <c r="N158" s="155"/>
      <c r="O158" s="155"/>
      <c r="P158" s="155"/>
      <c r="Q158" s="157"/>
      <c r="R158" s="154"/>
      <c r="S158" s="154"/>
    </row>
    <row r="159">
      <c r="A159" s="154"/>
      <c r="B159" s="154"/>
      <c r="C159" s="155"/>
      <c r="D159" s="156"/>
      <c r="E159" s="155"/>
      <c r="F159" s="155"/>
      <c r="G159" s="155"/>
      <c r="H159" s="157"/>
      <c r="I159" s="154"/>
      <c r="J159" s="154"/>
      <c r="K159" s="154"/>
      <c r="L159" s="155"/>
      <c r="M159" s="156"/>
      <c r="N159" s="155"/>
      <c r="O159" s="155"/>
      <c r="P159" s="155"/>
      <c r="Q159" s="157"/>
      <c r="R159" s="154"/>
      <c r="S159" s="154"/>
    </row>
    <row r="160">
      <c r="A160" s="154"/>
      <c r="B160" s="154"/>
      <c r="C160" s="155"/>
      <c r="D160" s="156"/>
      <c r="E160" s="155"/>
      <c r="F160" s="155"/>
      <c r="G160" s="155"/>
      <c r="H160" s="157"/>
      <c r="I160" s="154"/>
      <c r="J160" s="154"/>
      <c r="K160" s="154"/>
      <c r="L160" s="155"/>
      <c r="M160" s="156"/>
      <c r="N160" s="155"/>
      <c r="O160" s="155"/>
      <c r="P160" s="155"/>
      <c r="Q160" s="157"/>
      <c r="R160" s="154"/>
      <c r="S160" s="154"/>
    </row>
    <row r="161">
      <c r="A161" s="154"/>
      <c r="B161" s="154"/>
      <c r="C161" s="155"/>
      <c r="D161" s="156"/>
      <c r="E161" s="155"/>
      <c r="F161" s="155"/>
      <c r="G161" s="155"/>
      <c r="H161" s="157"/>
      <c r="I161" s="154"/>
      <c r="J161" s="154"/>
      <c r="K161" s="154"/>
      <c r="L161" s="155"/>
      <c r="M161" s="156"/>
      <c r="N161" s="155"/>
      <c r="O161" s="155"/>
      <c r="P161" s="155"/>
      <c r="Q161" s="157"/>
      <c r="R161" s="154"/>
      <c r="S161" s="154"/>
    </row>
    <row r="162">
      <c r="A162" s="154"/>
      <c r="B162" s="154"/>
      <c r="C162" s="155"/>
      <c r="D162" s="156"/>
      <c r="E162" s="155"/>
      <c r="F162" s="155"/>
      <c r="G162" s="155"/>
      <c r="H162" s="157"/>
      <c r="I162" s="154"/>
      <c r="J162" s="154"/>
      <c r="K162" s="154"/>
      <c r="L162" s="155"/>
      <c r="M162" s="156"/>
      <c r="N162" s="155"/>
      <c r="O162" s="155"/>
      <c r="P162" s="155"/>
      <c r="Q162" s="157"/>
      <c r="R162" s="154"/>
      <c r="S162" s="154"/>
    </row>
    <row r="163">
      <c r="A163" s="154"/>
      <c r="B163" s="154"/>
      <c r="C163" s="155"/>
      <c r="D163" s="156"/>
      <c r="E163" s="155"/>
      <c r="F163" s="155"/>
      <c r="G163" s="155"/>
      <c r="H163" s="157"/>
      <c r="I163" s="154"/>
      <c r="J163" s="154"/>
      <c r="K163" s="154"/>
      <c r="L163" s="155"/>
      <c r="M163" s="156"/>
      <c r="N163" s="155"/>
      <c r="O163" s="155"/>
      <c r="P163" s="155"/>
      <c r="Q163" s="157"/>
      <c r="R163" s="154"/>
      <c r="S163" s="154"/>
    </row>
    <row r="164">
      <c r="A164" s="154"/>
      <c r="B164" s="154"/>
      <c r="C164" s="155"/>
      <c r="D164" s="156"/>
      <c r="E164" s="155"/>
      <c r="F164" s="155"/>
      <c r="G164" s="155"/>
      <c r="H164" s="157"/>
      <c r="I164" s="154"/>
      <c r="J164" s="154"/>
      <c r="K164" s="154"/>
      <c r="L164" s="155"/>
      <c r="M164" s="156"/>
      <c r="N164" s="155"/>
      <c r="O164" s="155"/>
      <c r="P164" s="155"/>
      <c r="Q164" s="157"/>
      <c r="R164" s="154"/>
      <c r="S164" s="154"/>
    </row>
    <row r="165">
      <c r="A165" s="154"/>
      <c r="B165" s="154"/>
      <c r="C165" s="155"/>
      <c r="D165" s="156"/>
      <c r="E165" s="155"/>
      <c r="F165" s="155"/>
      <c r="G165" s="155"/>
      <c r="H165" s="157"/>
      <c r="I165" s="154"/>
      <c r="J165" s="154"/>
      <c r="K165" s="154"/>
      <c r="L165" s="155"/>
      <c r="M165" s="156"/>
      <c r="N165" s="155"/>
      <c r="O165" s="155"/>
      <c r="P165" s="155"/>
      <c r="Q165" s="157"/>
      <c r="R165" s="154"/>
      <c r="S165" s="154"/>
    </row>
    <row r="166">
      <c r="A166" s="154"/>
      <c r="B166" s="154"/>
      <c r="C166" s="155"/>
      <c r="D166" s="156"/>
      <c r="E166" s="155"/>
      <c r="F166" s="155"/>
      <c r="G166" s="155"/>
      <c r="H166" s="157"/>
      <c r="I166" s="154"/>
      <c r="J166" s="154"/>
      <c r="K166" s="154"/>
      <c r="L166" s="155"/>
      <c r="M166" s="156"/>
      <c r="N166" s="155"/>
      <c r="O166" s="155"/>
      <c r="P166" s="155"/>
      <c r="Q166" s="157"/>
      <c r="R166" s="154"/>
      <c r="S166" s="154"/>
    </row>
    <row r="167">
      <c r="A167" s="154"/>
      <c r="B167" s="154"/>
      <c r="C167" s="155"/>
      <c r="D167" s="156"/>
      <c r="E167" s="155"/>
      <c r="F167" s="155"/>
      <c r="G167" s="155"/>
      <c r="H167" s="157"/>
      <c r="I167" s="154"/>
      <c r="J167" s="154"/>
      <c r="K167" s="154"/>
      <c r="L167" s="155"/>
      <c r="M167" s="156"/>
      <c r="N167" s="155"/>
      <c r="O167" s="155"/>
      <c r="P167" s="155"/>
      <c r="Q167" s="157"/>
      <c r="R167" s="154"/>
      <c r="S167" s="154"/>
    </row>
    <row r="168">
      <c r="A168" s="154"/>
      <c r="B168" s="154"/>
      <c r="C168" s="155"/>
      <c r="D168" s="156"/>
      <c r="E168" s="155"/>
      <c r="F168" s="155"/>
      <c r="G168" s="155"/>
      <c r="H168" s="157"/>
      <c r="I168" s="154"/>
      <c r="J168" s="154"/>
      <c r="K168" s="154"/>
      <c r="L168" s="155"/>
      <c r="M168" s="156"/>
      <c r="N168" s="155"/>
      <c r="O168" s="155"/>
      <c r="P168" s="155"/>
      <c r="Q168" s="157"/>
      <c r="R168" s="154"/>
      <c r="S168" s="154"/>
    </row>
    <row r="169">
      <c r="A169" s="154"/>
      <c r="B169" s="154"/>
      <c r="C169" s="155"/>
      <c r="D169" s="156"/>
      <c r="E169" s="155"/>
      <c r="F169" s="155"/>
      <c r="G169" s="155"/>
      <c r="H169" s="157"/>
      <c r="I169" s="154"/>
      <c r="J169" s="154"/>
      <c r="K169" s="154"/>
      <c r="L169" s="155"/>
      <c r="M169" s="156"/>
      <c r="N169" s="155"/>
      <c r="O169" s="155"/>
      <c r="P169" s="155"/>
      <c r="Q169" s="157"/>
      <c r="R169" s="154"/>
      <c r="S169" s="154"/>
    </row>
    <row r="170">
      <c r="A170" s="154"/>
      <c r="B170" s="154"/>
      <c r="C170" s="155"/>
      <c r="D170" s="156"/>
      <c r="E170" s="155"/>
      <c r="F170" s="155"/>
      <c r="G170" s="155"/>
      <c r="H170" s="157"/>
      <c r="I170" s="154"/>
      <c r="J170" s="154"/>
      <c r="K170" s="154"/>
      <c r="L170" s="155"/>
      <c r="M170" s="156"/>
      <c r="N170" s="155"/>
      <c r="O170" s="155"/>
      <c r="P170" s="155"/>
      <c r="Q170" s="157"/>
      <c r="R170" s="154"/>
      <c r="S170" s="154"/>
    </row>
    <row r="171">
      <c r="A171" s="154"/>
      <c r="B171" s="154"/>
      <c r="C171" s="155"/>
      <c r="D171" s="156"/>
      <c r="E171" s="155"/>
      <c r="F171" s="155"/>
      <c r="G171" s="155"/>
      <c r="H171" s="157"/>
      <c r="I171" s="154"/>
      <c r="J171" s="154"/>
      <c r="K171" s="154"/>
      <c r="L171" s="155"/>
      <c r="M171" s="156"/>
      <c r="N171" s="155"/>
      <c r="O171" s="155"/>
      <c r="P171" s="155"/>
      <c r="Q171" s="157"/>
      <c r="R171" s="154"/>
      <c r="S171" s="154"/>
    </row>
    <row r="172">
      <c r="A172" s="154"/>
      <c r="B172" s="154"/>
      <c r="C172" s="155"/>
      <c r="D172" s="156"/>
      <c r="E172" s="155"/>
      <c r="F172" s="155"/>
      <c r="G172" s="155"/>
      <c r="H172" s="157"/>
      <c r="I172" s="154"/>
      <c r="J172" s="154"/>
      <c r="K172" s="154"/>
      <c r="L172" s="155"/>
      <c r="M172" s="156"/>
      <c r="N172" s="155"/>
      <c r="O172" s="155"/>
      <c r="P172" s="155"/>
      <c r="Q172" s="157"/>
      <c r="R172" s="154"/>
      <c r="S172" s="154"/>
    </row>
    <row r="173">
      <c r="A173" s="154"/>
      <c r="B173" s="154"/>
      <c r="C173" s="155"/>
      <c r="D173" s="156"/>
      <c r="E173" s="155"/>
      <c r="F173" s="155"/>
      <c r="G173" s="155"/>
      <c r="H173" s="157"/>
      <c r="I173" s="154"/>
      <c r="J173" s="154"/>
      <c r="K173" s="154"/>
      <c r="L173" s="155"/>
      <c r="M173" s="156"/>
      <c r="N173" s="155"/>
      <c r="O173" s="155"/>
      <c r="P173" s="155"/>
      <c r="Q173" s="157"/>
      <c r="R173" s="154"/>
      <c r="S173" s="154"/>
    </row>
    <row r="174">
      <c r="A174" s="154"/>
      <c r="B174" s="154"/>
      <c r="C174" s="155"/>
      <c r="D174" s="156"/>
      <c r="E174" s="155"/>
      <c r="F174" s="155"/>
      <c r="G174" s="155"/>
      <c r="H174" s="157"/>
      <c r="I174" s="154"/>
      <c r="J174" s="154"/>
      <c r="K174" s="154"/>
      <c r="L174" s="155"/>
      <c r="M174" s="156"/>
      <c r="N174" s="155"/>
      <c r="O174" s="155"/>
      <c r="P174" s="155"/>
      <c r="Q174" s="157"/>
      <c r="R174" s="154"/>
      <c r="S174" s="154"/>
    </row>
    <row r="175">
      <c r="A175" s="154"/>
      <c r="B175" s="154"/>
      <c r="C175" s="155"/>
      <c r="D175" s="156"/>
      <c r="E175" s="155"/>
      <c r="F175" s="155"/>
      <c r="G175" s="155"/>
      <c r="H175" s="157"/>
      <c r="I175" s="154"/>
      <c r="J175" s="154"/>
      <c r="K175" s="154"/>
      <c r="L175" s="155"/>
      <c r="M175" s="156"/>
      <c r="N175" s="155"/>
      <c r="O175" s="155"/>
      <c r="P175" s="155"/>
      <c r="Q175" s="157"/>
      <c r="R175" s="154"/>
      <c r="S175" s="154"/>
    </row>
    <row r="176">
      <c r="A176" s="154"/>
      <c r="B176" s="154"/>
      <c r="C176" s="155"/>
      <c r="D176" s="156"/>
      <c r="E176" s="155"/>
      <c r="F176" s="155"/>
      <c r="G176" s="155"/>
      <c r="H176" s="157"/>
      <c r="I176" s="154"/>
      <c r="J176" s="154"/>
      <c r="K176" s="154"/>
      <c r="L176" s="155"/>
      <c r="M176" s="156"/>
      <c r="N176" s="155"/>
      <c r="O176" s="155"/>
      <c r="P176" s="155"/>
      <c r="Q176" s="157"/>
      <c r="R176" s="154"/>
      <c r="S176" s="154"/>
    </row>
    <row r="177">
      <c r="A177" s="154"/>
      <c r="B177" s="154"/>
      <c r="C177" s="155"/>
      <c r="D177" s="156"/>
      <c r="E177" s="155"/>
      <c r="F177" s="155"/>
      <c r="G177" s="155"/>
      <c r="H177" s="157"/>
      <c r="I177" s="154"/>
      <c r="J177" s="154"/>
      <c r="K177" s="154"/>
      <c r="L177" s="155"/>
      <c r="M177" s="156"/>
      <c r="N177" s="155"/>
      <c r="O177" s="155"/>
      <c r="P177" s="155"/>
      <c r="Q177" s="157"/>
      <c r="R177" s="154"/>
      <c r="S177" s="154"/>
    </row>
    <row r="178">
      <c r="A178" s="154"/>
      <c r="B178" s="154"/>
      <c r="C178" s="155"/>
      <c r="D178" s="156"/>
      <c r="E178" s="155"/>
      <c r="F178" s="155"/>
      <c r="G178" s="155"/>
      <c r="H178" s="157"/>
      <c r="I178" s="154"/>
      <c r="J178" s="154"/>
      <c r="K178" s="154"/>
      <c r="L178" s="155"/>
      <c r="M178" s="156"/>
      <c r="N178" s="155"/>
      <c r="O178" s="155"/>
      <c r="P178" s="155"/>
      <c r="Q178" s="157"/>
      <c r="R178" s="154"/>
      <c r="S178" s="154"/>
    </row>
    <row r="179">
      <c r="A179" s="154"/>
      <c r="B179" s="154"/>
      <c r="C179" s="155"/>
      <c r="D179" s="156"/>
      <c r="E179" s="155"/>
      <c r="F179" s="155"/>
      <c r="G179" s="155"/>
      <c r="H179" s="157"/>
      <c r="I179" s="154"/>
      <c r="J179" s="154"/>
      <c r="K179" s="154"/>
      <c r="L179" s="155"/>
      <c r="M179" s="156"/>
      <c r="N179" s="155"/>
      <c r="O179" s="155"/>
      <c r="P179" s="155"/>
      <c r="Q179" s="157"/>
      <c r="R179" s="154"/>
      <c r="S179" s="154"/>
    </row>
    <row r="180">
      <c r="A180" s="154"/>
      <c r="B180" s="154"/>
      <c r="C180" s="155"/>
      <c r="D180" s="156"/>
      <c r="E180" s="155"/>
      <c r="F180" s="155"/>
      <c r="G180" s="155"/>
      <c r="H180" s="157"/>
      <c r="I180" s="154"/>
      <c r="J180" s="154"/>
      <c r="K180" s="154"/>
      <c r="L180" s="155"/>
      <c r="M180" s="156"/>
      <c r="N180" s="155"/>
      <c r="O180" s="155"/>
      <c r="P180" s="155"/>
      <c r="Q180" s="157"/>
      <c r="R180" s="154"/>
      <c r="S180" s="154"/>
    </row>
    <row r="181">
      <c r="A181" s="154"/>
      <c r="B181" s="154"/>
      <c r="C181" s="155"/>
      <c r="D181" s="156"/>
      <c r="E181" s="155"/>
      <c r="F181" s="155"/>
      <c r="G181" s="155"/>
      <c r="H181" s="157"/>
      <c r="I181" s="154"/>
      <c r="J181" s="154"/>
      <c r="K181" s="154"/>
      <c r="L181" s="155"/>
      <c r="M181" s="156"/>
      <c r="N181" s="155"/>
      <c r="O181" s="155"/>
      <c r="P181" s="155"/>
      <c r="Q181" s="157"/>
      <c r="R181" s="154"/>
      <c r="S181" s="154"/>
    </row>
    <row r="182">
      <c r="A182" s="154"/>
      <c r="B182" s="154"/>
      <c r="C182" s="155"/>
      <c r="D182" s="156"/>
      <c r="E182" s="155"/>
      <c r="F182" s="155"/>
      <c r="G182" s="155"/>
      <c r="H182" s="157"/>
      <c r="I182" s="154"/>
      <c r="J182" s="154"/>
      <c r="K182" s="154"/>
      <c r="L182" s="155"/>
      <c r="M182" s="156"/>
      <c r="N182" s="155"/>
      <c r="O182" s="155"/>
      <c r="P182" s="155"/>
      <c r="Q182" s="157"/>
      <c r="R182" s="154"/>
      <c r="S182" s="154"/>
    </row>
    <row r="183">
      <c r="A183" s="154"/>
      <c r="B183" s="154"/>
      <c r="C183" s="155"/>
      <c r="D183" s="156"/>
      <c r="E183" s="155"/>
      <c r="F183" s="155"/>
      <c r="G183" s="155"/>
      <c r="H183" s="157"/>
      <c r="I183" s="154"/>
      <c r="J183" s="154"/>
      <c r="K183" s="154"/>
      <c r="L183" s="155"/>
      <c r="M183" s="156"/>
      <c r="N183" s="155"/>
      <c r="O183" s="155"/>
      <c r="P183" s="155"/>
      <c r="Q183" s="157"/>
      <c r="R183" s="154"/>
      <c r="S183" s="154"/>
    </row>
    <row r="184">
      <c r="A184" s="154"/>
      <c r="B184" s="154"/>
      <c r="C184" s="155"/>
      <c r="D184" s="156"/>
      <c r="E184" s="155"/>
      <c r="F184" s="155"/>
      <c r="G184" s="155"/>
      <c r="H184" s="157"/>
      <c r="I184" s="154"/>
      <c r="J184" s="154"/>
      <c r="K184" s="154"/>
      <c r="L184" s="155"/>
      <c r="M184" s="156"/>
      <c r="N184" s="155"/>
      <c r="O184" s="155"/>
      <c r="P184" s="155"/>
      <c r="Q184" s="157"/>
      <c r="R184" s="154"/>
      <c r="S184" s="154"/>
    </row>
    <row r="185">
      <c r="A185" s="154"/>
      <c r="B185" s="154"/>
      <c r="C185" s="155"/>
      <c r="D185" s="156"/>
      <c r="E185" s="155"/>
      <c r="F185" s="155"/>
      <c r="G185" s="155"/>
      <c r="H185" s="157"/>
      <c r="I185" s="154"/>
      <c r="J185" s="154"/>
      <c r="K185" s="154"/>
      <c r="L185" s="155"/>
      <c r="M185" s="156"/>
      <c r="N185" s="155"/>
      <c r="O185" s="155"/>
      <c r="P185" s="155"/>
      <c r="Q185" s="157"/>
      <c r="R185" s="154"/>
      <c r="S185" s="154"/>
    </row>
    <row r="186">
      <c r="A186" s="154"/>
      <c r="B186" s="154"/>
      <c r="C186" s="155"/>
      <c r="D186" s="156"/>
      <c r="E186" s="155"/>
      <c r="F186" s="155"/>
      <c r="G186" s="155"/>
      <c r="H186" s="157"/>
      <c r="I186" s="154"/>
      <c r="J186" s="154"/>
      <c r="K186" s="154"/>
      <c r="L186" s="155"/>
      <c r="M186" s="156"/>
      <c r="N186" s="155"/>
      <c r="O186" s="155"/>
      <c r="P186" s="155"/>
      <c r="Q186" s="157"/>
      <c r="R186" s="154"/>
      <c r="S186" s="154"/>
    </row>
    <row r="187">
      <c r="A187" s="154"/>
      <c r="B187" s="154"/>
      <c r="C187" s="155"/>
      <c r="D187" s="156"/>
      <c r="E187" s="155"/>
      <c r="F187" s="155"/>
      <c r="G187" s="155"/>
      <c r="H187" s="157"/>
      <c r="I187" s="154"/>
      <c r="J187" s="154"/>
      <c r="K187" s="154"/>
      <c r="L187" s="155"/>
      <c r="M187" s="156"/>
      <c r="N187" s="155"/>
      <c r="O187" s="155"/>
      <c r="P187" s="155"/>
      <c r="Q187" s="157"/>
      <c r="R187" s="154"/>
      <c r="S187" s="154"/>
    </row>
    <row r="188">
      <c r="A188" s="154"/>
      <c r="B188" s="154"/>
      <c r="C188" s="155"/>
      <c r="D188" s="156"/>
      <c r="E188" s="155"/>
      <c r="F188" s="155"/>
      <c r="G188" s="155"/>
      <c r="H188" s="157"/>
      <c r="I188" s="154"/>
      <c r="J188" s="154"/>
      <c r="K188" s="154"/>
      <c r="L188" s="155"/>
      <c r="M188" s="156"/>
      <c r="N188" s="155"/>
      <c r="O188" s="155"/>
      <c r="P188" s="155"/>
      <c r="Q188" s="157"/>
      <c r="R188" s="154"/>
      <c r="S188" s="154"/>
    </row>
    <row r="189">
      <c r="A189" s="154"/>
      <c r="B189" s="154"/>
      <c r="C189" s="155"/>
      <c r="D189" s="156"/>
      <c r="E189" s="155"/>
      <c r="F189" s="155"/>
      <c r="G189" s="155"/>
      <c r="H189" s="157"/>
      <c r="I189" s="154"/>
      <c r="J189" s="154"/>
      <c r="K189" s="154"/>
      <c r="L189" s="155"/>
      <c r="M189" s="156"/>
      <c r="N189" s="155"/>
      <c r="O189" s="155"/>
      <c r="P189" s="155"/>
      <c r="Q189" s="157"/>
      <c r="R189" s="154"/>
      <c r="S189" s="154"/>
    </row>
    <row r="190">
      <c r="A190" s="154"/>
      <c r="B190" s="154"/>
      <c r="C190" s="155"/>
      <c r="D190" s="156"/>
      <c r="E190" s="155"/>
      <c r="F190" s="155"/>
      <c r="G190" s="155"/>
      <c r="H190" s="157"/>
      <c r="I190" s="154"/>
      <c r="J190" s="154"/>
      <c r="K190" s="154"/>
      <c r="L190" s="155"/>
      <c r="M190" s="156"/>
      <c r="N190" s="155"/>
      <c r="O190" s="155"/>
      <c r="P190" s="155"/>
      <c r="Q190" s="157"/>
      <c r="R190" s="154"/>
      <c r="S190" s="154"/>
    </row>
    <row r="191">
      <c r="A191" s="154"/>
      <c r="B191" s="154"/>
      <c r="C191" s="155"/>
      <c r="D191" s="156"/>
      <c r="E191" s="155"/>
      <c r="F191" s="155"/>
      <c r="G191" s="155"/>
      <c r="H191" s="157"/>
      <c r="I191" s="154"/>
      <c r="J191" s="154"/>
      <c r="K191" s="154"/>
      <c r="L191" s="155"/>
      <c r="M191" s="156"/>
      <c r="N191" s="155"/>
      <c r="O191" s="155"/>
      <c r="P191" s="155"/>
      <c r="Q191" s="157"/>
      <c r="R191" s="154"/>
      <c r="S191" s="154"/>
    </row>
    <row r="192">
      <c r="A192" s="154"/>
      <c r="B192" s="154"/>
      <c r="C192" s="155"/>
      <c r="D192" s="156"/>
      <c r="E192" s="155"/>
      <c r="F192" s="155"/>
      <c r="G192" s="155"/>
      <c r="H192" s="157"/>
      <c r="I192" s="154"/>
      <c r="J192" s="154"/>
      <c r="K192" s="154"/>
      <c r="L192" s="155"/>
      <c r="M192" s="156"/>
      <c r="N192" s="155"/>
      <c r="O192" s="155"/>
      <c r="P192" s="155"/>
      <c r="Q192" s="157"/>
      <c r="R192" s="154"/>
      <c r="S192" s="154"/>
    </row>
    <row r="193">
      <c r="A193" s="154"/>
      <c r="B193" s="154"/>
      <c r="C193" s="155"/>
      <c r="D193" s="156"/>
      <c r="E193" s="155"/>
      <c r="F193" s="155"/>
      <c r="G193" s="155"/>
      <c r="H193" s="157"/>
      <c r="I193" s="154"/>
      <c r="J193" s="154"/>
      <c r="K193" s="154"/>
      <c r="L193" s="155"/>
      <c r="M193" s="156"/>
      <c r="N193" s="155"/>
      <c r="O193" s="155"/>
      <c r="P193" s="155"/>
      <c r="Q193" s="157"/>
      <c r="R193" s="154"/>
      <c r="S193" s="154"/>
    </row>
    <row r="194">
      <c r="A194" s="154"/>
      <c r="B194" s="154"/>
      <c r="C194" s="155"/>
      <c r="D194" s="156"/>
      <c r="E194" s="155"/>
      <c r="F194" s="155"/>
      <c r="G194" s="155"/>
      <c r="H194" s="157"/>
      <c r="I194" s="154"/>
      <c r="J194" s="154"/>
      <c r="K194" s="154"/>
      <c r="L194" s="155"/>
      <c r="M194" s="156"/>
      <c r="N194" s="155"/>
      <c r="O194" s="155"/>
      <c r="P194" s="155"/>
      <c r="Q194" s="157"/>
      <c r="R194" s="154"/>
      <c r="S194" s="154"/>
    </row>
    <row r="195">
      <c r="A195" s="154"/>
      <c r="B195" s="154"/>
      <c r="C195" s="155"/>
      <c r="D195" s="156"/>
      <c r="E195" s="155"/>
      <c r="F195" s="155"/>
      <c r="G195" s="155"/>
      <c r="H195" s="157"/>
      <c r="I195" s="154"/>
      <c r="J195" s="154"/>
      <c r="K195" s="154"/>
      <c r="L195" s="155"/>
      <c r="M195" s="156"/>
      <c r="N195" s="155"/>
      <c r="O195" s="155"/>
      <c r="P195" s="155"/>
      <c r="Q195" s="157"/>
      <c r="R195" s="154"/>
      <c r="S195" s="154"/>
    </row>
    <row r="196">
      <c r="A196" s="154"/>
      <c r="B196" s="154"/>
      <c r="C196" s="155"/>
      <c r="D196" s="156"/>
      <c r="E196" s="155"/>
      <c r="F196" s="155"/>
      <c r="G196" s="155"/>
      <c r="H196" s="157"/>
      <c r="I196" s="154"/>
      <c r="J196" s="154"/>
      <c r="K196" s="154"/>
      <c r="L196" s="155"/>
      <c r="M196" s="156"/>
      <c r="N196" s="155"/>
      <c r="O196" s="155"/>
      <c r="P196" s="155"/>
      <c r="Q196" s="157"/>
      <c r="R196" s="154"/>
      <c r="S196" s="154"/>
    </row>
    <row r="197">
      <c r="A197" s="154"/>
      <c r="B197" s="154"/>
      <c r="C197" s="155"/>
      <c r="D197" s="156"/>
      <c r="E197" s="155"/>
      <c r="F197" s="155"/>
      <c r="G197" s="155"/>
      <c r="H197" s="157"/>
      <c r="I197" s="154"/>
      <c r="J197" s="154"/>
      <c r="K197" s="154"/>
      <c r="L197" s="155"/>
      <c r="M197" s="156"/>
      <c r="N197" s="155"/>
      <c r="O197" s="155"/>
      <c r="P197" s="155"/>
      <c r="Q197" s="157"/>
      <c r="R197" s="154"/>
      <c r="S197" s="154"/>
    </row>
    <row r="198">
      <c r="A198" s="154"/>
      <c r="B198" s="154"/>
      <c r="C198" s="155"/>
      <c r="D198" s="156"/>
      <c r="E198" s="155"/>
      <c r="F198" s="155"/>
      <c r="G198" s="155"/>
      <c r="H198" s="157"/>
      <c r="I198" s="154"/>
      <c r="J198" s="154"/>
      <c r="K198" s="154"/>
      <c r="L198" s="155"/>
      <c r="M198" s="156"/>
      <c r="N198" s="155"/>
      <c r="O198" s="155"/>
      <c r="P198" s="155"/>
      <c r="Q198" s="157"/>
      <c r="R198" s="154"/>
      <c r="S198" s="154"/>
    </row>
    <row r="199">
      <c r="A199" s="154"/>
      <c r="B199" s="154"/>
      <c r="C199" s="155"/>
      <c r="D199" s="156"/>
      <c r="E199" s="155"/>
      <c r="F199" s="155"/>
      <c r="G199" s="155"/>
      <c r="H199" s="157"/>
      <c r="I199" s="154"/>
      <c r="J199" s="154"/>
      <c r="K199" s="154"/>
      <c r="L199" s="155"/>
      <c r="M199" s="156"/>
      <c r="N199" s="155"/>
      <c r="O199" s="155"/>
      <c r="P199" s="155"/>
      <c r="Q199" s="157"/>
      <c r="R199" s="154"/>
      <c r="S199" s="154"/>
    </row>
    <row r="200">
      <c r="A200" s="154"/>
      <c r="B200" s="154"/>
      <c r="C200" s="155"/>
      <c r="D200" s="156"/>
      <c r="E200" s="155"/>
      <c r="F200" s="155"/>
      <c r="G200" s="155"/>
      <c r="H200" s="157"/>
      <c r="I200" s="154"/>
      <c r="J200" s="154"/>
      <c r="K200" s="154"/>
      <c r="L200" s="155"/>
      <c r="M200" s="156"/>
      <c r="N200" s="155"/>
      <c r="O200" s="155"/>
      <c r="P200" s="155"/>
      <c r="Q200" s="157"/>
      <c r="R200" s="154"/>
      <c r="S200" s="154"/>
    </row>
    <row r="201">
      <c r="A201" s="154"/>
      <c r="B201" s="154"/>
      <c r="C201" s="155"/>
      <c r="D201" s="156"/>
      <c r="E201" s="155"/>
      <c r="F201" s="155"/>
      <c r="G201" s="155"/>
      <c r="H201" s="157"/>
      <c r="I201" s="154"/>
      <c r="J201" s="154"/>
      <c r="K201" s="154"/>
      <c r="L201" s="155"/>
      <c r="M201" s="156"/>
      <c r="N201" s="155"/>
      <c r="O201" s="155"/>
      <c r="P201" s="155"/>
      <c r="Q201" s="157"/>
      <c r="R201" s="154"/>
      <c r="S201" s="154"/>
    </row>
    <row r="202">
      <c r="A202" s="154"/>
      <c r="B202" s="154"/>
      <c r="C202" s="155"/>
      <c r="D202" s="156"/>
      <c r="E202" s="155"/>
      <c r="F202" s="155"/>
      <c r="G202" s="155"/>
      <c r="H202" s="157"/>
      <c r="I202" s="154"/>
      <c r="J202" s="154"/>
      <c r="K202" s="154"/>
      <c r="L202" s="155"/>
      <c r="M202" s="156"/>
      <c r="N202" s="155"/>
      <c r="O202" s="155"/>
      <c r="P202" s="155"/>
      <c r="Q202" s="157"/>
      <c r="R202" s="154"/>
      <c r="S202" s="154"/>
    </row>
    <row r="203">
      <c r="A203" s="154"/>
      <c r="B203" s="154"/>
      <c r="C203" s="155"/>
      <c r="D203" s="156"/>
      <c r="E203" s="155"/>
      <c r="F203" s="155"/>
      <c r="G203" s="155"/>
      <c r="H203" s="157"/>
      <c r="I203" s="154"/>
      <c r="J203" s="154"/>
      <c r="K203" s="154"/>
      <c r="L203" s="155"/>
      <c r="M203" s="156"/>
      <c r="N203" s="155"/>
      <c r="O203" s="155"/>
      <c r="P203" s="155"/>
      <c r="Q203" s="157"/>
      <c r="R203" s="154"/>
      <c r="S203" s="154"/>
    </row>
    <row r="204">
      <c r="A204" s="154"/>
      <c r="B204" s="154"/>
      <c r="C204" s="155"/>
      <c r="D204" s="156"/>
      <c r="E204" s="155"/>
      <c r="F204" s="155"/>
      <c r="G204" s="155"/>
      <c r="H204" s="157"/>
      <c r="I204" s="154"/>
      <c r="J204" s="154"/>
      <c r="K204" s="154"/>
      <c r="L204" s="155"/>
      <c r="M204" s="156"/>
      <c r="N204" s="155"/>
      <c r="O204" s="155"/>
      <c r="P204" s="155"/>
      <c r="Q204" s="157"/>
      <c r="R204" s="154"/>
      <c r="S204" s="154"/>
    </row>
    <row r="205">
      <c r="A205" s="154"/>
      <c r="B205" s="154"/>
      <c r="C205" s="155"/>
      <c r="D205" s="156"/>
      <c r="E205" s="155"/>
      <c r="F205" s="155"/>
      <c r="G205" s="155"/>
      <c r="H205" s="157"/>
      <c r="I205" s="154"/>
      <c r="J205" s="154"/>
      <c r="K205" s="154"/>
      <c r="L205" s="155"/>
      <c r="M205" s="156"/>
      <c r="N205" s="155"/>
      <c r="O205" s="155"/>
      <c r="P205" s="155"/>
      <c r="Q205" s="157"/>
      <c r="R205" s="154"/>
      <c r="S205" s="154"/>
    </row>
    <row r="206">
      <c r="A206" s="154"/>
      <c r="B206" s="154"/>
      <c r="C206" s="155"/>
      <c r="D206" s="156"/>
      <c r="E206" s="155"/>
      <c r="F206" s="155"/>
      <c r="G206" s="155"/>
      <c r="H206" s="157"/>
      <c r="I206" s="154"/>
      <c r="J206" s="154"/>
      <c r="K206" s="154"/>
      <c r="L206" s="155"/>
      <c r="M206" s="156"/>
      <c r="N206" s="155"/>
      <c r="O206" s="155"/>
      <c r="P206" s="155"/>
      <c r="Q206" s="157"/>
      <c r="R206" s="154"/>
      <c r="S206" s="154"/>
    </row>
    <row r="207">
      <c r="A207" s="154"/>
      <c r="B207" s="154"/>
      <c r="C207" s="155"/>
      <c r="D207" s="156"/>
      <c r="E207" s="155"/>
      <c r="F207" s="155"/>
      <c r="G207" s="155"/>
      <c r="H207" s="157"/>
      <c r="I207" s="154"/>
      <c r="J207" s="154"/>
      <c r="K207" s="154"/>
      <c r="L207" s="155"/>
      <c r="M207" s="156"/>
      <c r="N207" s="155"/>
      <c r="O207" s="155"/>
      <c r="P207" s="155"/>
      <c r="Q207" s="157"/>
      <c r="R207" s="154"/>
      <c r="S207" s="154"/>
    </row>
    <row r="208">
      <c r="A208" s="154"/>
      <c r="B208" s="154"/>
      <c r="C208" s="155"/>
      <c r="D208" s="156"/>
      <c r="E208" s="155"/>
      <c r="F208" s="155"/>
      <c r="G208" s="155"/>
      <c r="H208" s="157"/>
      <c r="I208" s="154"/>
      <c r="J208" s="154"/>
      <c r="K208" s="154"/>
      <c r="L208" s="155"/>
      <c r="M208" s="156"/>
      <c r="N208" s="155"/>
      <c r="O208" s="155"/>
      <c r="P208" s="155"/>
      <c r="Q208" s="157"/>
      <c r="R208" s="154"/>
      <c r="S208" s="154"/>
    </row>
    <row r="209">
      <c r="A209" s="154"/>
      <c r="B209" s="154"/>
      <c r="C209" s="155"/>
      <c r="D209" s="156"/>
      <c r="E209" s="155"/>
      <c r="F209" s="155"/>
      <c r="G209" s="155"/>
      <c r="H209" s="157"/>
      <c r="I209" s="154"/>
      <c r="J209" s="154"/>
      <c r="K209" s="154"/>
      <c r="L209" s="155"/>
      <c r="M209" s="156"/>
      <c r="N209" s="155"/>
      <c r="O209" s="155"/>
      <c r="P209" s="155"/>
      <c r="Q209" s="157"/>
      <c r="R209" s="154"/>
      <c r="S209" s="154"/>
    </row>
    <row r="210">
      <c r="A210" s="154"/>
      <c r="B210" s="154"/>
      <c r="C210" s="155"/>
      <c r="D210" s="156"/>
      <c r="E210" s="155"/>
      <c r="F210" s="155"/>
      <c r="G210" s="155"/>
      <c r="H210" s="157"/>
      <c r="I210" s="154"/>
      <c r="J210" s="154"/>
      <c r="K210" s="154"/>
      <c r="L210" s="155"/>
      <c r="M210" s="156"/>
      <c r="N210" s="155"/>
      <c r="O210" s="155"/>
      <c r="P210" s="155"/>
      <c r="Q210" s="157"/>
      <c r="R210" s="154"/>
      <c r="S210" s="154"/>
    </row>
    <row r="211">
      <c r="A211" s="154"/>
      <c r="B211" s="154"/>
      <c r="C211" s="155"/>
      <c r="D211" s="156"/>
      <c r="E211" s="155"/>
      <c r="F211" s="155"/>
      <c r="G211" s="155"/>
      <c r="H211" s="157"/>
      <c r="I211" s="154"/>
      <c r="J211" s="154"/>
      <c r="K211" s="154"/>
      <c r="L211" s="155"/>
      <c r="M211" s="156"/>
      <c r="N211" s="155"/>
      <c r="O211" s="155"/>
      <c r="P211" s="155"/>
      <c r="Q211" s="157"/>
      <c r="R211" s="154"/>
      <c r="S211" s="154"/>
    </row>
    <row r="212">
      <c r="A212" s="154"/>
      <c r="B212" s="154"/>
      <c r="C212" s="155"/>
      <c r="D212" s="156"/>
      <c r="E212" s="155"/>
      <c r="F212" s="155"/>
      <c r="G212" s="155"/>
      <c r="H212" s="157"/>
      <c r="I212" s="154"/>
      <c r="J212" s="154"/>
      <c r="K212" s="154"/>
      <c r="L212" s="155"/>
      <c r="M212" s="156"/>
      <c r="N212" s="155"/>
      <c r="O212" s="155"/>
      <c r="P212" s="155"/>
      <c r="Q212" s="157"/>
      <c r="R212" s="154"/>
      <c r="S212" s="154"/>
    </row>
    <row r="213">
      <c r="A213" s="154"/>
      <c r="B213" s="154"/>
      <c r="C213" s="155"/>
      <c r="D213" s="156"/>
      <c r="E213" s="155"/>
      <c r="F213" s="155"/>
      <c r="G213" s="155"/>
      <c r="H213" s="157"/>
      <c r="I213" s="154"/>
      <c r="J213" s="154"/>
      <c r="K213" s="154"/>
      <c r="L213" s="155"/>
      <c r="M213" s="156"/>
      <c r="N213" s="155"/>
      <c r="O213" s="155"/>
      <c r="P213" s="155"/>
      <c r="Q213" s="157"/>
      <c r="R213" s="154"/>
      <c r="S213" s="154"/>
    </row>
    <row r="214">
      <c r="A214" s="154"/>
      <c r="B214" s="154"/>
      <c r="C214" s="155"/>
      <c r="D214" s="156"/>
      <c r="E214" s="155"/>
      <c r="F214" s="155"/>
      <c r="G214" s="155"/>
      <c r="H214" s="157"/>
      <c r="I214" s="154"/>
      <c r="J214" s="154"/>
      <c r="K214" s="154"/>
      <c r="L214" s="155"/>
      <c r="M214" s="156"/>
      <c r="N214" s="155"/>
      <c r="O214" s="155"/>
      <c r="P214" s="155"/>
      <c r="Q214" s="157"/>
      <c r="R214" s="154"/>
      <c r="S214" s="154"/>
    </row>
    <row r="215">
      <c r="A215" s="154"/>
      <c r="B215" s="154"/>
      <c r="C215" s="155"/>
      <c r="D215" s="156"/>
      <c r="E215" s="155"/>
      <c r="F215" s="155"/>
      <c r="G215" s="155"/>
      <c r="H215" s="157"/>
      <c r="I215" s="154"/>
      <c r="J215" s="154"/>
      <c r="K215" s="154"/>
      <c r="L215" s="155"/>
      <c r="M215" s="156"/>
      <c r="N215" s="155"/>
      <c r="O215" s="155"/>
      <c r="P215" s="155"/>
      <c r="Q215" s="157"/>
      <c r="R215" s="154"/>
      <c r="S215" s="154"/>
    </row>
    <row r="216">
      <c r="A216" s="154"/>
      <c r="B216" s="154"/>
      <c r="C216" s="155"/>
      <c r="D216" s="156"/>
      <c r="E216" s="155"/>
      <c r="F216" s="155"/>
      <c r="G216" s="155"/>
      <c r="H216" s="157"/>
      <c r="I216" s="154"/>
      <c r="J216" s="154"/>
      <c r="K216" s="154"/>
      <c r="L216" s="155"/>
      <c r="M216" s="156"/>
      <c r="N216" s="155"/>
      <c r="O216" s="155"/>
      <c r="P216" s="155"/>
      <c r="Q216" s="157"/>
      <c r="R216" s="154"/>
      <c r="S216" s="154"/>
    </row>
    <row r="217">
      <c r="A217" s="154"/>
      <c r="B217" s="154"/>
      <c r="C217" s="155"/>
      <c r="D217" s="156"/>
      <c r="E217" s="155"/>
      <c r="F217" s="155"/>
      <c r="G217" s="155"/>
      <c r="H217" s="157"/>
      <c r="I217" s="154"/>
      <c r="J217" s="154"/>
      <c r="K217" s="154"/>
      <c r="L217" s="155"/>
      <c r="M217" s="156"/>
      <c r="N217" s="155"/>
      <c r="O217" s="155"/>
      <c r="P217" s="155"/>
      <c r="Q217" s="157"/>
      <c r="R217" s="154"/>
      <c r="S217" s="154"/>
    </row>
    <row r="218">
      <c r="A218" s="154"/>
      <c r="B218" s="154"/>
      <c r="C218" s="155"/>
      <c r="D218" s="156"/>
      <c r="E218" s="155"/>
      <c r="F218" s="155"/>
      <c r="G218" s="155"/>
      <c r="H218" s="157"/>
      <c r="I218" s="154"/>
      <c r="J218" s="154"/>
      <c r="K218" s="154"/>
      <c r="L218" s="155"/>
      <c r="M218" s="156"/>
      <c r="N218" s="155"/>
      <c r="O218" s="155"/>
      <c r="P218" s="155"/>
      <c r="Q218" s="157"/>
      <c r="R218" s="154"/>
      <c r="S218" s="154"/>
    </row>
    <row r="219">
      <c r="A219" s="154"/>
      <c r="B219" s="154"/>
      <c r="C219" s="155"/>
      <c r="D219" s="156"/>
      <c r="E219" s="155"/>
      <c r="F219" s="155"/>
      <c r="G219" s="155"/>
      <c r="H219" s="157"/>
      <c r="I219" s="154"/>
      <c r="J219" s="154"/>
      <c r="K219" s="154"/>
      <c r="L219" s="155"/>
      <c r="M219" s="156"/>
      <c r="N219" s="155"/>
      <c r="O219" s="155"/>
      <c r="P219" s="155"/>
      <c r="Q219" s="157"/>
      <c r="R219" s="154"/>
      <c r="S219" s="154"/>
    </row>
    <row r="220">
      <c r="A220" s="154"/>
      <c r="B220" s="154"/>
      <c r="C220" s="155"/>
      <c r="D220" s="156"/>
      <c r="E220" s="155"/>
      <c r="F220" s="155"/>
      <c r="G220" s="155"/>
      <c r="H220" s="157"/>
      <c r="I220" s="154"/>
      <c r="J220" s="154"/>
      <c r="K220" s="154"/>
      <c r="L220" s="155"/>
      <c r="M220" s="156"/>
      <c r="N220" s="155"/>
      <c r="O220" s="155"/>
      <c r="P220" s="155"/>
      <c r="Q220" s="157"/>
      <c r="R220" s="154"/>
      <c r="S220" s="154"/>
    </row>
    <row r="221">
      <c r="A221" s="154"/>
      <c r="B221" s="154"/>
      <c r="C221" s="155"/>
      <c r="D221" s="156"/>
      <c r="E221" s="155"/>
      <c r="F221" s="155"/>
      <c r="G221" s="155"/>
      <c r="H221" s="157"/>
      <c r="I221" s="154"/>
      <c r="J221" s="154"/>
      <c r="K221" s="154"/>
      <c r="L221" s="155"/>
      <c r="M221" s="156"/>
      <c r="N221" s="155"/>
      <c r="O221" s="155"/>
      <c r="P221" s="155"/>
      <c r="Q221" s="157"/>
      <c r="R221" s="154"/>
      <c r="S221" s="154"/>
    </row>
    <row r="222">
      <c r="A222" s="154"/>
      <c r="B222" s="154"/>
      <c r="C222" s="155"/>
      <c r="D222" s="156"/>
      <c r="E222" s="155"/>
      <c r="F222" s="155"/>
      <c r="G222" s="155"/>
      <c r="H222" s="157"/>
      <c r="I222" s="154"/>
      <c r="J222" s="154"/>
      <c r="K222" s="154"/>
      <c r="L222" s="155"/>
      <c r="M222" s="156"/>
      <c r="N222" s="155"/>
      <c r="O222" s="155"/>
      <c r="P222" s="155"/>
      <c r="Q222" s="157"/>
      <c r="R222" s="154"/>
      <c r="S222" s="154"/>
    </row>
    <row r="223">
      <c r="A223" s="154"/>
      <c r="B223" s="154"/>
      <c r="C223" s="155"/>
      <c r="D223" s="156"/>
      <c r="E223" s="155"/>
      <c r="F223" s="155"/>
      <c r="G223" s="155"/>
      <c r="H223" s="157"/>
      <c r="I223" s="154"/>
      <c r="J223" s="154"/>
      <c r="K223" s="154"/>
      <c r="L223" s="155"/>
      <c r="M223" s="156"/>
      <c r="N223" s="155"/>
      <c r="O223" s="155"/>
      <c r="P223" s="155"/>
      <c r="Q223" s="157"/>
      <c r="R223" s="154"/>
      <c r="S223" s="154"/>
    </row>
    <row r="224">
      <c r="A224" s="154"/>
      <c r="B224" s="154"/>
      <c r="C224" s="155"/>
      <c r="D224" s="156"/>
      <c r="E224" s="155"/>
      <c r="F224" s="155"/>
      <c r="G224" s="155"/>
      <c r="H224" s="157"/>
      <c r="I224" s="154"/>
      <c r="J224" s="154"/>
      <c r="K224" s="154"/>
      <c r="L224" s="155"/>
      <c r="M224" s="156"/>
      <c r="N224" s="155"/>
      <c r="O224" s="155"/>
      <c r="P224" s="155"/>
      <c r="Q224" s="157"/>
      <c r="R224" s="154"/>
      <c r="S224" s="154"/>
    </row>
    <row r="225">
      <c r="A225" s="154"/>
      <c r="B225" s="154"/>
      <c r="C225" s="155"/>
      <c r="D225" s="156"/>
      <c r="E225" s="155"/>
      <c r="F225" s="155"/>
      <c r="G225" s="155"/>
      <c r="H225" s="157"/>
      <c r="I225" s="154"/>
      <c r="J225" s="154"/>
      <c r="K225" s="154"/>
      <c r="L225" s="155"/>
      <c r="M225" s="156"/>
      <c r="N225" s="155"/>
      <c r="O225" s="155"/>
      <c r="P225" s="155"/>
      <c r="Q225" s="157"/>
      <c r="R225" s="154"/>
      <c r="S225" s="154"/>
    </row>
    <row r="226">
      <c r="A226" s="154"/>
      <c r="B226" s="154"/>
      <c r="C226" s="155"/>
      <c r="D226" s="156"/>
      <c r="E226" s="155"/>
      <c r="F226" s="155"/>
      <c r="G226" s="155"/>
      <c r="H226" s="157"/>
      <c r="I226" s="154"/>
      <c r="J226" s="154"/>
      <c r="K226" s="154"/>
      <c r="L226" s="155"/>
      <c r="M226" s="156"/>
      <c r="N226" s="155"/>
      <c r="O226" s="155"/>
      <c r="P226" s="155"/>
      <c r="Q226" s="157"/>
      <c r="R226" s="154"/>
      <c r="S226" s="154"/>
    </row>
    <row r="227">
      <c r="A227" s="154"/>
      <c r="B227" s="154"/>
      <c r="C227" s="155"/>
      <c r="D227" s="156"/>
      <c r="E227" s="155"/>
      <c r="F227" s="155"/>
      <c r="G227" s="155"/>
      <c r="H227" s="157"/>
      <c r="I227" s="154"/>
      <c r="J227" s="154"/>
      <c r="K227" s="154"/>
      <c r="L227" s="155"/>
      <c r="M227" s="156"/>
      <c r="N227" s="155"/>
      <c r="O227" s="155"/>
      <c r="P227" s="155"/>
      <c r="Q227" s="157"/>
      <c r="R227" s="154"/>
      <c r="S227" s="154"/>
    </row>
    <row r="228">
      <c r="A228" s="154"/>
      <c r="B228" s="154"/>
      <c r="C228" s="155"/>
      <c r="D228" s="156"/>
      <c r="E228" s="155"/>
      <c r="F228" s="155"/>
      <c r="G228" s="155"/>
      <c r="H228" s="157"/>
      <c r="I228" s="154"/>
      <c r="J228" s="154"/>
      <c r="K228" s="154"/>
      <c r="L228" s="155"/>
      <c r="M228" s="156"/>
      <c r="N228" s="155"/>
      <c r="O228" s="155"/>
      <c r="P228" s="155"/>
      <c r="Q228" s="157"/>
      <c r="R228" s="154"/>
      <c r="S228" s="154"/>
    </row>
    <row r="229">
      <c r="A229" s="154"/>
      <c r="B229" s="154"/>
      <c r="C229" s="155"/>
      <c r="D229" s="156"/>
      <c r="E229" s="155"/>
      <c r="F229" s="155"/>
      <c r="G229" s="155"/>
      <c r="H229" s="157"/>
      <c r="I229" s="154"/>
      <c r="J229" s="154"/>
      <c r="K229" s="154"/>
      <c r="L229" s="155"/>
      <c r="M229" s="156"/>
      <c r="N229" s="155"/>
      <c r="O229" s="155"/>
      <c r="P229" s="155"/>
      <c r="Q229" s="157"/>
      <c r="R229" s="154"/>
      <c r="S229" s="154"/>
    </row>
    <row r="230">
      <c r="A230" s="154"/>
      <c r="B230" s="154"/>
      <c r="C230" s="155"/>
      <c r="D230" s="156"/>
      <c r="E230" s="155"/>
      <c r="F230" s="155"/>
      <c r="G230" s="155"/>
      <c r="H230" s="157"/>
      <c r="I230" s="154"/>
      <c r="J230" s="154"/>
      <c r="K230" s="154"/>
      <c r="L230" s="155"/>
      <c r="M230" s="156"/>
      <c r="N230" s="155"/>
      <c r="O230" s="155"/>
      <c r="P230" s="155"/>
      <c r="Q230" s="157"/>
      <c r="R230" s="154"/>
      <c r="S230" s="154"/>
    </row>
    <row r="231">
      <c r="A231" s="154"/>
      <c r="B231" s="154"/>
      <c r="C231" s="155"/>
      <c r="D231" s="156"/>
      <c r="E231" s="155"/>
      <c r="F231" s="155"/>
      <c r="G231" s="155"/>
      <c r="H231" s="157"/>
      <c r="I231" s="154"/>
      <c r="J231" s="154"/>
      <c r="K231" s="154"/>
      <c r="L231" s="155"/>
      <c r="M231" s="156"/>
      <c r="N231" s="155"/>
      <c r="O231" s="155"/>
      <c r="P231" s="155"/>
      <c r="Q231" s="157"/>
      <c r="R231" s="154"/>
      <c r="S231" s="154"/>
    </row>
    <row r="232">
      <c r="A232" s="154"/>
      <c r="B232" s="154"/>
      <c r="C232" s="155"/>
      <c r="D232" s="156"/>
      <c r="E232" s="155"/>
      <c r="F232" s="155"/>
      <c r="G232" s="155"/>
      <c r="H232" s="157"/>
      <c r="I232" s="154"/>
      <c r="J232" s="154"/>
      <c r="K232" s="154"/>
      <c r="L232" s="155"/>
      <c r="M232" s="156"/>
      <c r="N232" s="155"/>
      <c r="O232" s="155"/>
      <c r="P232" s="155"/>
      <c r="Q232" s="157"/>
      <c r="R232" s="154"/>
      <c r="S232" s="154"/>
    </row>
    <row r="233">
      <c r="A233" s="154"/>
      <c r="B233" s="154"/>
      <c r="C233" s="155"/>
      <c r="D233" s="156"/>
      <c r="E233" s="155"/>
      <c r="F233" s="155"/>
      <c r="G233" s="155"/>
      <c r="H233" s="157"/>
      <c r="I233" s="154"/>
      <c r="J233" s="154"/>
      <c r="K233" s="154"/>
      <c r="L233" s="155"/>
      <c r="M233" s="156"/>
      <c r="N233" s="155"/>
      <c r="O233" s="155"/>
      <c r="P233" s="155"/>
      <c r="Q233" s="157"/>
      <c r="R233" s="154"/>
      <c r="S233" s="154"/>
    </row>
    <row r="234">
      <c r="A234" s="154"/>
      <c r="B234" s="154"/>
      <c r="C234" s="155"/>
      <c r="D234" s="156"/>
      <c r="E234" s="155"/>
      <c r="F234" s="155"/>
      <c r="G234" s="155"/>
      <c r="H234" s="157"/>
      <c r="I234" s="154"/>
      <c r="J234" s="154"/>
      <c r="K234" s="154"/>
      <c r="L234" s="155"/>
      <c r="M234" s="156"/>
      <c r="N234" s="155"/>
      <c r="O234" s="155"/>
      <c r="P234" s="155"/>
      <c r="Q234" s="157"/>
      <c r="R234" s="154"/>
      <c r="S234" s="154"/>
    </row>
    <row r="235">
      <c r="A235" s="154"/>
      <c r="B235" s="154"/>
      <c r="C235" s="155"/>
      <c r="D235" s="156"/>
      <c r="E235" s="155"/>
      <c r="F235" s="155"/>
      <c r="G235" s="155"/>
      <c r="H235" s="157"/>
      <c r="I235" s="154"/>
      <c r="J235" s="154"/>
      <c r="K235" s="154"/>
      <c r="L235" s="155"/>
      <c r="M235" s="156"/>
      <c r="N235" s="155"/>
      <c r="O235" s="155"/>
      <c r="P235" s="155"/>
      <c r="Q235" s="157"/>
      <c r="R235" s="154"/>
      <c r="S235" s="154"/>
    </row>
    <row r="236">
      <c r="A236" s="154"/>
      <c r="B236" s="154"/>
      <c r="C236" s="155"/>
      <c r="D236" s="156"/>
      <c r="E236" s="155"/>
      <c r="F236" s="155"/>
      <c r="G236" s="155"/>
      <c r="H236" s="157"/>
      <c r="I236" s="154"/>
      <c r="J236" s="154"/>
      <c r="K236" s="154"/>
      <c r="L236" s="155"/>
      <c r="M236" s="156"/>
      <c r="N236" s="155"/>
      <c r="O236" s="155"/>
      <c r="P236" s="155"/>
      <c r="Q236" s="157"/>
      <c r="R236" s="154"/>
      <c r="S236" s="154"/>
    </row>
    <row r="237">
      <c r="A237" s="154"/>
      <c r="B237" s="154"/>
      <c r="C237" s="155"/>
      <c r="D237" s="156"/>
      <c r="E237" s="155"/>
      <c r="F237" s="155"/>
      <c r="G237" s="155"/>
      <c r="H237" s="157"/>
      <c r="I237" s="154"/>
      <c r="J237" s="154"/>
      <c r="K237" s="154"/>
      <c r="L237" s="155"/>
      <c r="M237" s="156"/>
      <c r="N237" s="155"/>
      <c r="O237" s="155"/>
      <c r="P237" s="155"/>
      <c r="Q237" s="157"/>
      <c r="R237" s="154"/>
      <c r="S237" s="154"/>
    </row>
    <row r="238">
      <c r="A238" s="154"/>
      <c r="B238" s="154"/>
      <c r="C238" s="155"/>
      <c r="D238" s="156"/>
      <c r="E238" s="155"/>
      <c r="F238" s="155"/>
      <c r="G238" s="155"/>
      <c r="H238" s="157"/>
      <c r="I238" s="154"/>
      <c r="J238" s="154"/>
      <c r="K238" s="154"/>
      <c r="L238" s="155"/>
      <c r="M238" s="156"/>
      <c r="N238" s="155"/>
      <c r="O238" s="155"/>
      <c r="P238" s="155"/>
      <c r="Q238" s="157"/>
      <c r="R238" s="154"/>
      <c r="S238" s="154"/>
    </row>
    <row r="239">
      <c r="A239" s="154"/>
      <c r="B239" s="154"/>
      <c r="C239" s="155"/>
      <c r="D239" s="156"/>
      <c r="E239" s="155"/>
      <c r="F239" s="155"/>
      <c r="G239" s="155"/>
      <c r="H239" s="157"/>
      <c r="I239" s="154"/>
      <c r="J239" s="154"/>
      <c r="K239" s="154"/>
      <c r="L239" s="155"/>
      <c r="M239" s="156"/>
      <c r="N239" s="155"/>
      <c r="O239" s="155"/>
      <c r="P239" s="155"/>
      <c r="Q239" s="157"/>
      <c r="R239" s="154"/>
      <c r="S239" s="154"/>
    </row>
    <row r="240">
      <c r="A240" s="154"/>
      <c r="B240" s="154"/>
      <c r="C240" s="155"/>
      <c r="D240" s="156"/>
      <c r="E240" s="155"/>
      <c r="F240" s="155"/>
      <c r="G240" s="155"/>
      <c r="H240" s="157"/>
      <c r="I240" s="154"/>
      <c r="J240" s="154"/>
      <c r="K240" s="154"/>
      <c r="L240" s="155"/>
      <c r="M240" s="156"/>
      <c r="N240" s="155"/>
      <c r="O240" s="155"/>
      <c r="P240" s="155"/>
      <c r="Q240" s="157"/>
      <c r="R240" s="154"/>
      <c r="S240" s="154"/>
    </row>
    <row r="241">
      <c r="A241" s="154"/>
      <c r="B241" s="154"/>
      <c r="C241" s="155"/>
      <c r="D241" s="156"/>
      <c r="E241" s="155"/>
      <c r="F241" s="155"/>
      <c r="G241" s="155"/>
      <c r="H241" s="157"/>
      <c r="I241" s="154"/>
      <c r="J241" s="154"/>
      <c r="K241" s="154"/>
      <c r="L241" s="155"/>
      <c r="M241" s="156"/>
      <c r="N241" s="155"/>
      <c r="O241" s="155"/>
      <c r="P241" s="155"/>
      <c r="Q241" s="157"/>
      <c r="R241" s="154"/>
      <c r="S241" s="154"/>
    </row>
    <row r="242">
      <c r="A242" s="154"/>
      <c r="B242" s="154"/>
      <c r="C242" s="155"/>
      <c r="D242" s="156"/>
      <c r="E242" s="155"/>
      <c r="F242" s="155"/>
      <c r="G242" s="155"/>
      <c r="H242" s="157"/>
      <c r="I242" s="154"/>
      <c r="J242" s="154"/>
      <c r="K242" s="154"/>
      <c r="L242" s="155"/>
      <c r="M242" s="156"/>
      <c r="N242" s="155"/>
      <c r="O242" s="155"/>
      <c r="P242" s="155"/>
      <c r="Q242" s="157"/>
      <c r="R242" s="154"/>
      <c r="S242" s="154"/>
    </row>
    <row r="243">
      <c r="A243" s="154"/>
      <c r="B243" s="154"/>
      <c r="C243" s="155"/>
      <c r="D243" s="156"/>
      <c r="E243" s="155"/>
      <c r="F243" s="155"/>
      <c r="G243" s="155"/>
      <c r="H243" s="157"/>
      <c r="I243" s="154"/>
      <c r="J243" s="154"/>
      <c r="K243" s="154"/>
      <c r="L243" s="155"/>
      <c r="M243" s="156"/>
      <c r="N243" s="155"/>
      <c r="O243" s="155"/>
      <c r="P243" s="155"/>
      <c r="Q243" s="157"/>
      <c r="R243" s="154"/>
      <c r="S243" s="154"/>
    </row>
    <row r="244">
      <c r="A244" s="154"/>
      <c r="B244" s="154"/>
      <c r="C244" s="155"/>
      <c r="D244" s="156"/>
      <c r="E244" s="155"/>
      <c r="F244" s="155"/>
      <c r="G244" s="155"/>
      <c r="H244" s="157"/>
      <c r="I244" s="154"/>
      <c r="J244" s="154"/>
      <c r="K244" s="154"/>
      <c r="L244" s="155"/>
      <c r="M244" s="156"/>
      <c r="N244" s="155"/>
      <c r="O244" s="155"/>
      <c r="P244" s="155"/>
      <c r="Q244" s="157"/>
      <c r="R244" s="154"/>
      <c r="S244" s="154"/>
    </row>
    <row r="245">
      <c r="A245" s="154"/>
      <c r="B245" s="154"/>
      <c r="C245" s="155"/>
      <c r="D245" s="156"/>
      <c r="E245" s="155"/>
      <c r="F245" s="155"/>
      <c r="G245" s="155"/>
      <c r="H245" s="157"/>
      <c r="I245" s="154"/>
      <c r="J245" s="154"/>
      <c r="K245" s="154"/>
      <c r="L245" s="155"/>
      <c r="M245" s="156"/>
      <c r="N245" s="155"/>
      <c r="O245" s="155"/>
      <c r="P245" s="155"/>
      <c r="Q245" s="157"/>
      <c r="R245" s="154"/>
      <c r="S245" s="154"/>
    </row>
    <row r="246">
      <c r="A246" s="154"/>
      <c r="B246" s="154"/>
      <c r="C246" s="155"/>
      <c r="D246" s="156"/>
      <c r="E246" s="155"/>
      <c r="F246" s="155"/>
      <c r="G246" s="155"/>
      <c r="H246" s="157"/>
      <c r="I246" s="154"/>
      <c r="J246" s="154"/>
      <c r="K246" s="154"/>
      <c r="L246" s="155"/>
      <c r="M246" s="156"/>
      <c r="N246" s="155"/>
      <c r="O246" s="155"/>
      <c r="P246" s="155"/>
      <c r="Q246" s="157"/>
      <c r="R246" s="154"/>
      <c r="S246" s="154"/>
    </row>
    <row r="247">
      <c r="A247" s="154"/>
      <c r="B247" s="154"/>
      <c r="C247" s="155"/>
      <c r="D247" s="156"/>
      <c r="E247" s="155"/>
      <c r="F247" s="155"/>
      <c r="G247" s="155"/>
      <c r="H247" s="157"/>
      <c r="I247" s="154"/>
      <c r="J247" s="154"/>
      <c r="K247" s="154"/>
      <c r="L247" s="155"/>
      <c r="M247" s="156"/>
      <c r="N247" s="155"/>
      <c r="O247" s="155"/>
      <c r="P247" s="155"/>
      <c r="Q247" s="157"/>
      <c r="R247" s="154"/>
      <c r="S247" s="154"/>
    </row>
    <row r="248">
      <c r="A248" s="154"/>
      <c r="B248" s="154"/>
      <c r="C248" s="155"/>
      <c r="D248" s="156"/>
      <c r="E248" s="155"/>
      <c r="F248" s="155"/>
      <c r="G248" s="155"/>
      <c r="H248" s="157"/>
      <c r="I248" s="154"/>
      <c r="J248" s="154"/>
      <c r="K248" s="154"/>
      <c r="L248" s="155"/>
      <c r="M248" s="156"/>
      <c r="N248" s="155"/>
      <c r="O248" s="155"/>
      <c r="P248" s="155"/>
      <c r="Q248" s="157"/>
      <c r="R248" s="154"/>
      <c r="S248" s="154"/>
    </row>
    <row r="249">
      <c r="A249" s="154"/>
      <c r="B249" s="154"/>
      <c r="C249" s="155"/>
      <c r="D249" s="156"/>
      <c r="E249" s="155"/>
      <c r="F249" s="155"/>
      <c r="G249" s="155"/>
      <c r="H249" s="157"/>
      <c r="I249" s="154"/>
      <c r="J249" s="154"/>
      <c r="K249" s="154"/>
      <c r="L249" s="155"/>
      <c r="M249" s="156"/>
      <c r="N249" s="155"/>
      <c r="O249" s="155"/>
      <c r="P249" s="155"/>
      <c r="Q249" s="157"/>
      <c r="R249" s="154"/>
      <c r="S249" s="154"/>
    </row>
    <row r="250">
      <c r="A250" s="154"/>
      <c r="B250" s="154"/>
      <c r="C250" s="155"/>
      <c r="D250" s="156"/>
      <c r="E250" s="155"/>
      <c r="F250" s="155"/>
      <c r="G250" s="155"/>
      <c r="H250" s="157"/>
      <c r="I250" s="154"/>
      <c r="J250" s="154"/>
      <c r="K250" s="154"/>
      <c r="L250" s="155"/>
      <c r="M250" s="156"/>
      <c r="N250" s="155"/>
      <c r="O250" s="155"/>
      <c r="P250" s="155"/>
      <c r="Q250" s="157"/>
      <c r="R250" s="154"/>
      <c r="S250" s="154"/>
    </row>
    <row r="251">
      <c r="A251" s="154"/>
      <c r="B251" s="154"/>
      <c r="C251" s="155"/>
      <c r="D251" s="156"/>
      <c r="E251" s="155"/>
      <c r="F251" s="155"/>
      <c r="G251" s="155"/>
      <c r="H251" s="157"/>
      <c r="I251" s="154"/>
      <c r="J251" s="154"/>
      <c r="K251" s="154"/>
      <c r="L251" s="155"/>
      <c r="M251" s="156"/>
      <c r="N251" s="155"/>
      <c r="O251" s="155"/>
      <c r="P251" s="155"/>
      <c r="Q251" s="157"/>
      <c r="R251" s="154"/>
      <c r="S251" s="154"/>
    </row>
    <row r="252">
      <c r="A252" s="154"/>
      <c r="B252" s="154"/>
      <c r="C252" s="155"/>
      <c r="D252" s="156"/>
      <c r="E252" s="155"/>
      <c r="F252" s="155"/>
      <c r="G252" s="155"/>
      <c r="H252" s="157"/>
      <c r="I252" s="154"/>
      <c r="J252" s="154"/>
      <c r="K252" s="154"/>
      <c r="L252" s="155"/>
      <c r="M252" s="156"/>
      <c r="N252" s="155"/>
      <c r="O252" s="155"/>
      <c r="P252" s="155"/>
      <c r="Q252" s="157"/>
      <c r="R252" s="154"/>
      <c r="S252" s="154"/>
    </row>
    <row r="253">
      <c r="A253" s="154"/>
      <c r="B253" s="154"/>
      <c r="C253" s="155"/>
      <c r="D253" s="156"/>
      <c r="E253" s="155"/>
      <c r="F253" s="155"/>
      <c r="G253" s="155"/>
      <c r="H253" s="157"/>
      <c r="I253" s="154"/>
      <c r="J253" s="154"/>
      <c r="K253" s="154"/>
      <c r="L253" s="155"/>
      <c r="M253" s="156"/>
      <c r="N253" s="155"/>
      <c r="O253" s="155"/>
      <c r="P253" s="155"/>
      <c r="Q253" s="157"/>
      <c r="R253" s="154"/>
      <c r="S253" s="154"/>
    </row>
    <row r="254">
      <c r="A254" s="154"/>
      <c r="B254" s="154"/>
      <c r="C254" s="155"/>
      <c r="D254" s="156"/>
      <c r="E254" s="155"/>
      <c r="F254" s="155"/>
      <c r="G254" s="155"/>
      <c r="H254" s="157"/>
      <c r="I254" s="154"/>
      <c r="J254" s="154"/>
      <c r="K254" s="154"/>
      <c r="L254" s="155"/>
      <c r="M254" s="156"/>
      <c r="N254" s="155"/>
      <c r="O254" s="155"/>
      <c r="P254" s="155"/>
      <c r="Q254" s="157"/>
      <c r="R254" s="154"/>
      <c r="S254" s="154"/>
    </row>
    <row r="255">
      <c r="A255" s="154"/>
      <c r="B255" s="154"/>
      <c r="C255" s="155"/>
      <c r="D255" s="156"/>
      <c r="E255" s="155"/>
      <c r="F255" s="155"/>
      <c r="G255" s="155"/>
      <c r="H255" s="157"/>
      <c r="I255" s="154"/>
      <c r="J255" s="154"/>
      <c r="K255" s="154"/>
      <c r="L255" s="155"/>
      <c r="M255" s="156"/>
      <c r="N255" s="155"/>
      <c r="O255" s="155"/>
      <c r="P255" s="155"/>
      <c r="Q255" s="157"/>
      <c r="R255" s="154"/>
      <c r="S255" s="154"/>
    </row>
    <row r="256">
      <c r="A256" s="154"/>
      <c r="B256" s="154"/>
      <c r="C256" s="155"/>
      <c r="D256" s="156"/>
      <c r="E256" s="155"/>
      <c r="F256" s="155"/>
      <c r="G256" s="155"/>
      <c r="H256" s="157"/>
      <c r="I256" s="154"/>
      <c r="J256" s="154"/>
      <c r="K256" s="154"/>
      <c r="L256" s="155"/>
      <c r="M256" s="156"/>
      <c r="N256" s="155"/>
      <c r="O256" s="155"/>
      <c r="P256" s="155"/>
      <c r="Q256" s="157"/>
      <c r="R256" s="154"/>
      <c r="S256" s="154"/>
    </row>
    <row r="257">
      <c r="A257" s="154"/>
      <c r="B257" s="154"/>
      <c r="C257" s="155"/>
      <c r="D257" s="156"/>
      <c r="E257" s="155"/>
      <c r="F257" s="155"/>
      <c r="G257" s="155"/>
      <c r="H257" s="157"/>
      <c r="I257" s="154"/>
      <c r="J257" s="154"/>
      <c r="K257" s="154"/>
      <c r="L257" s="155"/>
      <c r="M257" s="156"/>
      <c r="N257" s="155"/>
      <c r="O257" s="155"/>
      <c r="P257" s="155"/>
      <c r="Q257" s="157"/>
      <c r="R257" s="154"/>
      <c r="S257" s="154"/>
    </row>
    <row r="258">
      <c r="A258" s="154"/>
      <c r="B258" s="154"/>
      <c r="C258" s="155"/>
      <c r="D258" s="156"/>
      <c r="E258" s="155"/>
      <c r="F258" s="155"/>
      <c r="G258" s="155"/>
      <c r="H258" s="157"/>
      <c r="I258" s="154"/>
      <c r="J258" s="154"/>
      <c r="K258" s="154"/>
      <c r="L258" s="155"/>
      <c r="M258" s="156"/>
      <c r="N258" s="155"/>
      <c r="O258" s="155"/>
      <c r="P258" s="155"/>
      <c r="Q258" s="157"/>
      <c r="R258" s="154"/>
      <c r="S258" s="154"/>
    </row>
    <row r="259">
      <c r="A259" s="154"/>
      <c r="B259" s="154"/>
      <c r="C259" s="155"/>
      <c r="D259" s="156"/>
      <c r="E259" s="155"/>
      <c r="F259" s="155"/>
      <c r="G259" s="155"/>
      <c r="H259" s="157"/>
      <c r="I259" s="154"/>
      <c r="J259" s="154"/>
      <c r="K259" s="154"/>
      <c r="L259" s="155"/>
      <c r="M259" s="156"/>
      <c r="N259" s="155"/>
      <c r="O259" s="155"/>
      <c r="P259" s="155"/>
      <c r="Q259" s="157"/>
      <c r="R259" s="154"/>
      <c r="S259" s="154"/>
    </row>
    <row r="260">
      <c r="A260" s="154"/>
      <c r="B260" s="154"/>
      <c r="C260" s="155"/>
      <c r="D260" s="156"/>
      <c r="E260" s="155"/>
      <c r="F260" s="155"/>
      <c r="G260" s="155"/>
      <c r="H260" s="157"/>
      <c r="I260" s="154"/>
      <c r="J260" s="154"/>
      <c r="K260" s="154"/>
      <c r="L260" s="155"/>
      <c r="M260" s="156"/>
      <c r="N260" s="155"/>
      <c r="O260" s="155"/>
      <c r="P260" s="155"/>
      <c r="Q260" s="157"/>
      <c r="R260" s="154"/>
      <c r="S260" s="154"/>
    </row>
    <row r="261">
      <c r="A261" s="154"/>
      <c r="B261" s="154"/>
      <c r="C261" s="155"/>
      <c r="D261" s="156"/>
      <c r="E261" s="155"/>
      <c r="F261" s="155"/>
      <c r="G261" s="155"/>
      <c r="H261" s="157"/>
      <c r="I261" s="154"/>
      <c r="J261" s="154"/>
      <c r="K261" s="154"/>
      <c r="L261" s="155"/>
      <c r="M261" s="156"/>
      <c r="N261" s="155"/>
      <c r="O261" s="155"/>
      <c r="P261" s="155"/>
      <c r="Q261" s="157"/>
      <c r="R261" s="154"/>
      <c r="S261" s="154"/>
    </row>
    <row r="262">
      <c r="A262" s="154"/>
      <c r="B262" s="154"/>
      <c r="C262" s="155"/>
      <c r="D262" s="156"/>
      <c r="E262" s="155"/>
      <c r="F262" s="155"/>
      <c r="G262" s="155"/>
      <c r="H262" s="157"/>
      <c r="I262" s="154"/>
      <c r="J262" s="154"/>
      <c r="K262" s="154"/>
      <c r="L262" s="155"/>
      <c r="M262" s="156"/>
      <c r="N262" s="155"/>
      <c r="O262" s="155"/>
      <c r="P262" s="155"/>
      <c r="Q262" s="157"/>
      <c r="R262" s="154"/>
      <c r="S262" s="154"/>
    </row>
    <row r="263">
      <c r="A263" s="154"/>
      <c r="B263" s="154"/>
      <c r="C263" s="155"/>
      <c r="D263" s="156"/>
      <c r="E263" s="155"/>
      <c r="F263" s="155"/>
      <c r="G263" s="155"/>
      <c r="H263" s="157"/>
      <c r="I263" s="154"/>
      <c r="J263" s="154"/>
      <c r="K263" s="154"/>
      <c r="L263" s="155"/>
      <c r="M263" s="156"/>
      <c r="N263" s="155"/>
      <c r="O263" s="155"/>
      <c r="P263" s="155"/>
      <c r="Q263" s="157"/>
      <c r="R263" s="154"/>
      <c r="S263" s="154"/>
    </row>
    <row r="264">
      <c r="A264" s="154"/>
      <c r="B264" s="154"/>
      <c r="C264" s="155"/>
      <c r="D264" s="156"/>
      <c r="E264" s="155"/>
      <c r="F264" s="155"/>
      <c r="G264" s="155"/>
      <c r="H264" s="157"/>
      <c r="I264" s="154"/>
      <c r="J264" s="154"/>
      <c r="K264" s="154"/>
      <c r="L264" s="155"/>
      <c r="M264" s="156"/>
      <c r="N264" s="155"/>
      <c r="O264" s="155"/>
      <c r="P264" s="155"/>
      <c r="Q264" s="157"/>
      <c r="R264" s="154"/>
      <c r="S264" s="154"/>
    </row>
    <row r="265">
      <c r="A265" s="154"/>
      <c r="B265" s="154"/>
      <c r="C265" s="155"/>
      <c r="D265" s="156"/>
      <c r="E265" s="155"/>
      <c r="F265" s="155"/>
      <c r="G265" s="155"/>
      <c r="H265" s="157"/>
      <c r="I265" s="154"/>
      <c r="J265" s="154"/>
      <c r="K265" s="154"/>
      <c r="L265" s="155"/>
      <c r="M265" s="156"/>
      <c r="N265" s="155"/>
      <c r="O265" s="155"/>
      <c r="P265" s="155"/>
      <c r="Q265" s="157"/>
      <c r="R265" s="154"/>
      <c r="S265" s="154"/>
    </row>
    <row r="266">
      <c r="A266" s="154"/>
      <c r="B266" s="154"/>
      <c r="C266" s="155"/>
      <c r="D266" s="156"/>
      <c r="E266" s="155"/>
      <c r="F266" s="155"/>
      <c r="G266" s="155"/>
      <c r="H266" s="157"/>
      <c r="I266" s="154"/>
      <c r="J266" s="154"/>
      <c r="K266" s="154"/>
      <c r="L266" s="155"/>
      <c r="M266" s="156"/>
      <c r="N266" s="155"/>
      <c r="O266" s="155"/>
      <c r="P266" s="155"/>
      <c r="Q266" s="157"/>
      <c r="R266" s="154"/>
      <c r="S266" s="154"/>
    </row>
    <row r="267">
      <c r="A267" s="154"/>
      <c r="B267" s="154"/>
      <c r="C267" s="155"/>
      <c r="D267" s="156"/>
      <c r="E267" s="155"/>
      <c r="F267" s="155"/>
      <c r="G267" s="155"/>
      <c r="H267" s="157"/>
      <c r="I267" s="154"/>
      <c r="J267" s="154"/>
      <c r="K267" s="154"/>
      <c r="L267" s="155"/>
      <c r="M267" s="156"/>
      <c r="N267" s="155"/>
      <c r="O267" s="155"/>
      <c r="P267" s="155"/>
      <c r="Q267" s="157"/>
      <c r="R267" s="154"/>
      <c r="S267" s="154"/>
    </row>
    <row r="268">
      <c r="A268" s="154"/>
      <c r="B268" s="154"/>
      <c r="C268" s="155"/>
      <c r="D268" s="156"/>
      <c r="E268" s="155"/>
      <c r="F268" s="155"/>
      <c r="G268" s="155"/>
      <c r="H268" s="157"/>
      <c r="I268" s="154"/>
      <c r="J268" s="154"/>
      <c r="K268" s="154"/>
      <c r="L268" s="155"/>
      <c r="M268" s="156"/>
      <c r="N268" s="155"/>
      <c r="O268" s="155"/>
      <c r="P268" s="155"/>
      <c r="Q268" s="157"/>
      <c r="R268" s="154"/>
      <c r="S268" s="154"/>
    </row>
    <row r="269">
      <c r="A269" s="154"/>
      <c r="B269" s="154"/>
      <c r="C269" s="155"/>
      <c r="D269" s="156"/>
      <c r="E269" s="155"/>
      <c r="F269" s="155"/>
      <c r="G269" s="155"/>
      <c r="H269" s="157"/>
      <c r="I269" s="154"/>
      <c r="J269" s="154"/>
      <c r="K269" s="154"/>
      <c r="L269" s="155"/>
      <c r="M269" s="156"/>
      <c r="N269" s="155"/>
      <c r="O269" s="155"/>
      <c r="P269" s="155"/>
      <c r="Q269" s="157"/>
      <c r="R269" s="154"/>
      <c r="S269" s="154"/>
    </row>
    <row r="270">
      <c r="A270" s="154"/>
      <c r="B270" s="154"/>
      <c r="C270" s="155"/>
      <c r="D270" s="156"/>
      <c r="E270" s="155"/>
      <c r="F270" s="155"/>
      <c r="G270" s="155"/>
      <c r="H270" s="157"/>
      <c r="I270" s="154"/>
      <c r="J270" s="154"/>
      <c r="K270" s="154"/>
      <c r="L270" s="155"/>
      <c r="M270" s="156"/>
      <c r="N270" s="155"/>
      <c r="O270" s="155"/>
      <c r="P270" s="155"/>
      <c r="Q270" s="157"/>
      <c r="R270" s="154"/>
      <c r="S270" s="154"/>
    </row>
    <row r="271">
      <c r="A271" s="154"/>
      <c r="B271" s="154"/>
      <c r="C271" s="155"/>
      <c r="D271" s="156"/>
      <c r="E271" s="155"/>
      <c r="F271" s="155"/>
      <c r="G271" s="155"/>
      <c r="H271" s="157"/>
      <c r="I271" s="154"/>
      <c r="J271" s="154"/>
      <c r="K271" s="154"/>
      <c r="L271" s="155"/>
      <c r="M271" s="156"/>
      <c r="N271" s="155"/>
      <c r="O271" s="155"/>
      <c r="P271" s="155"/>
      <c r="Q271" s="157"/>
      <c r="R271" s="154"/>
      <c r="S271" s="154"/>
    </row>
    <row r="272">
      <c r="A272" s="154"/>
      <c r="B272" s="154"/>
      <c r="C272" s="155"/>
      <c r="D272" s="156"/>
      <c r="E272" s="155"/>
      <c r="F272" s="155"/>
      <c r="G272" s="155"/>
      <c r="H272" s="157"/>
      <c r="I272" s="154"/>
      <c r="J272" s="154"/>
      <c r="K272" s="154"/>
      <c r="L272" s="155"/>
      <c r="M272" s="156"/>
      <c r="N272" s="155"/>
      <c r="O272" s="155"/>
      <c r="P272" s="155"/>
      <c r="Q272" s="157"/>
      <c r="R272" s="154"/>
      <c r="S272" s="154"/>
    </row>
    <row r="273">
      <c r="A273" s="154"/>
      <c r="B273" s="154"/>
      <c r="C273" s="155"/>
      <c r="D273" s="156"/>
      <c r="E273" s="155"/>
      <c r="F273" s="155"/>
      <c r="G273" s="155"/>
      <c r="H273" s="157"/>
      <c r="I273" s="154"/>
      <c r="J273" s="154"/>
      <c r="K273" s="154"/>
      <c r="L273" s="155"/>
      <c r="M273" s="156"/>
      <c r="N273" s="155"/>
      <c r="O273" s="155"/>
      <c r="P273" s="155"/>
      <c r="Q273" s="157"/>
      <c r="R273" s="154"/>
      <c r="S273" s="154"/>
    </row>
    <row r="274">
      <c r="A274" s="154"/>
      <c r="B274" s="154"/>
      <c r="C274" s="155"/>
      <c r="D274" s="156"/>
      <c r="E274" s="155"/>
      <c r="F274" s="155"/>
      <c r="G274" s="155"/>
      <c r="H274" s="157"/>
      <c r="I274" s="154"/>
      <c r="J274" s="154"/>
      <c r="K274" s="154"/>
      <c r="L274" s="155"/>
      <c r="M274" s="156"/>
      <c r="N274" s="155"/>
      <c r="O274" s="155"/>
      <c r="P274" s="155"/>
      <c r="Q274" s="157"/>
      <c r="R274" s="154"/>
      <c r="S274" s="154"/>
    </row>
    <row r="275">
      <c r="A275" s="154"/>
      <c r="B275" s="154"/>
      <c r="C275" s="155"/>
      <c r="D275" s="156"/>
      <c r="E275" s="155"/>
      <c r="F275" s="155"/>
      <c r="G275" s="155"/>
      <c r="H275" s="157"/>
      <c r="I275" s="154"/>
      <c r="J275" s="154"/>
      <c r="K275" s="154"/>
      <c r="L275" s="155"/>
      <c r="M275" s="156"/>
      <c r="N275" s="155"/>
      <c r="O275" s="155"/>
      <c r="P275" s="155"/>
      <c r="Q275" s="157"/>
      <c r="R275" s="154"/>
      <c r="S275" s="154"/>
    </row>
    <row r="276">
      <c r="A276" s="154"/>
      <c r="B276" s="154"/>
      <c r="C276" s="155"/>
      <c r="D276" s="156"/>
      <c r="E276" s="155"/>
      <c r="F276" s="155"/>
      <c r="G276" s="155"/>
      <c r="H276" s="157"/>
      <c r="I276" s="154"/>
      <c r="J276" s="154"/>
      <c r="K276" s="154"/>
      <c r="L276" s="155"/>
      <c r="M276" s="156"/>
      <c r="N276" s="155"/>
      <c r="O276" s="155"/>
      <c r="P276" s="155"/>
      <c r="Q276" s="157"/>
      <c r="R276" s="154"/>
      <c r="S276" s="154"/>
    </row>
    <row r="277">
      <c r="A277" s="154"/>
      <c r="B277" s="154"/>
      <c r="C277" s="155"/>
      <c r="D277" s="156"/>
      <c r="E277" s="155"/>
      <c r="F277" s="155"/>
      <c r="G277" s="155"/>
      <c r="H277" s="157"/>
      <c r="I277" s="154"/>
      <c r="J277" s="154"/>
      <c r="K277" s="154"/>
      <c r="L277" s="155"/>
      <c r="M277" s="156"/>
      <c r="N277" s="155"/>
      <c r="O277" s="155"/>
      <c r="P277" s="155"/>
      <c r="Q277" s="157"/>
      <c r="R277" s="154"/>
      <c r="S277" s="154"/>
    </row>
    <row r="278">
      <c r="A278" s="154"/>
      <c r="B278" s="154"/>
      <c r="C278" s="155"/>
      <c r="D278" s="156"/>
      <c r="E278" s="155"/>
      <c r="F278" s="155"/>
      <c r="G278" s="155"/>
      <c r="H278" s="157"/>
      <c r="I278" s="154"/>
      <c r="J278" s="154"/>
      <c r="K278" s="154"/>
      <c r="L278" s="155"/>
      <c r="M278" s="156"/>
      <c r="N278" s="155"/>
      <c r="O278" s="155"/>
      <c r="P278" s="155"/>
      <c r="Q278" s="157"/>
      <c r="R278" s="154"/>
      <c r="S278" s="154"/>
    </row>
    <row r="279">
      <c r="A279" s="154"/>
      <c r="B279" s="154"/>
      <c r="C279" s="155"/>
      <c r="D279" s="156"/>
      <c r="E279" s="155"/>
      <c r="F279" s="155"/>
      <c r="G279" s="155"/>
      <c r="H279" s="157"/>
      <c r="I279" s="154"/>
      <c r="J279" s="154"/>
      <c r="K279" s="154"/>
      <c r="L279" s="155"/>
      <c r="M279" s="156"/>
      <c r="N279" s="155"/>
      <c r="O279" s="155"/>
      <c r="P279" s="155"/>
      <c r="Q279" s="157"/>
      <c r="R279" s="154"/>
      <c r="S279" s="154"/>
    </row>
    <row r="280">
      <c r="A280" s="154"/>
      <c r="B280" s="154"/>
      <c r="C280" s="155"/>
      <c r="D280" s="156"/>
      <c r="E280" s="155"/>
      <c r="F280" s="155"/>
      <c r="G280" s="155"/>
      <c r="H280" s="157"/>
      <c r="I280" s="154"/>
      <c r="J280" s="154"/>
      <c r="K280" s="154"/>
      <c r="L280" s="155"/>
      <c r="M280" s="156"/>
      <c r="N280" s="155"/>
      <c r="O280" s="155"/>
      <c r="P280" s="155"/>
      <c r="Q280" s="157"/>
      <c r="R280" s="154"/>
      <c r="S280" s="154"/>
    </row>
    <row r="281">
      <c r="A281" s="154"/>
      <c r="B281" s="154"/>
      <c r="C281" s="155"/>
      <c r="D281" s="156"/>
      <c r="E281" s="155"/>
      <c r="F281" s="155"/>
      <c r="G281" s="155"/>
      <c r="H281" s="157"/>
      <c r="I281" s="154"/>
      <c r="J281" s="154"/>
      <c r="K281" s="154"/>
      <c r="L281" s="155"/>
      <c r="M281" s="156"/>
      <c r="N281" s="155"/>
      <c r="O281" s="155"/>
      <c r="P281" s="155"/>
      <c r="Q281" s="157"/>
      <c r="R281" s="154"/>
      <c r="S281" s="154"/>
    </row>
    <row r="282">
      <c r="A282" s="154"/>
      <c r="B282" s="154"/>
      <c r="C282" s="155"/>
      <c r="D282" s="156"/>
      <c r="E282" s="155"/>
      <c r="F282" s="155"/>
      <c r="G282" s="155"/>
      <c r="H282" s="157"/>
      <c r="I282" s="154"/>
      <c r="J282" s="154"/>
      <c r="K282" s="154"/>
      <c r="L282" s="155"/>
      <c r="M282" s="156"/>
      <c r="N282" s="155"/>
      <c r="O282" s="155"/>
      <c r="P282" s="155"/>
      <c r="Q282" s="157"/>
      <c r="R282" s="154"/>
      <c r="S282" s="154"/>
    </row>
    <row r="283">
      <c r="A283" s="154"/>
      <c r="B283" s="154"/>
      <c r="C283" s="155"/>
      <c r="D283" s="156"/>
      <c r="E283" s="155"/>
      <c r="F283" s="155"/>
      <c r="G283" s="155"/>
      <c r="H283" s="157"/>
      <c r="I283" s="154"/>
      <c r="J283" s="154"/>
      <c r="K283" s="154"/>
      <c r="L283" s="155"/>
      <c r="M283" s="156"/>
      <c r="N283" s="155"/>
      <c r="O283" s="155"/>
      <c r="P283" s="155"/>
      <c r="Q283" s="157"/>
      <c r="R283" s="154"/>
      <c r="S283" s="154"/>
    </row>
    <row r="284">
      <c r="A284" s="154"/>
      <c r="B284" s="154"/>
      <c r="C284" s="155"/>
      <c r="D284" s="156"/>
      <c r="E284" s="155"/>
      <c r="F284" s="155"/>
      <c r="G284" s="155"/>
      <c r="H284" s="157"/>
      <c r="I284" s="154"/>
      <c r="J284" s="154"/>
      <c r="K284" s="154"/>
      <c r="L284" s="155"/>
      <c r="M284" s="156"/>
      <c r="N284" s="155"/>
      <c r="O284" s="155"/>
      <c r="P284" s="155"/>
      <c r="Q284" s="157"/>
      <c r="R284" s="154"/>
      <c r="S284" s="154"/>
    </row>
    <row r="285">
      <c r="A285" s="154"/>
      <c r="B285" s="154"/>
      <c r="C285" s="155"/>
      <c r="D285" s="156"/>
      <c r="E285" s="155"/>
      <c r="F285" s="155"/>
      <c r="G285" s="155"/>
      <c r="H285" s="157"/>
      <c r="I285" s="154"/>
      <c r="J285" s="154"/>
      <c r="K285" s="154"/>
      <c r="L285" s="155"/>
      <c r="M285" s="156"/>
      <c r="N285" s="155"/>
      <c r="O285" s="155"/>
      <c r="P285" s="155"/>
      <c r="Q285" s="157"/>
      <c r="R285" s="154"/>
      <c r="S285" s="154"/>
    </row>
    <row r="286">
      <c r="A286" s="154"/>
      <c r="B286" s="154"/>
      <c r="C286" s="155"/>
      <c r="D286" s="156"/>
      <c r="E286" s="155"/>
      <c r="F286" s="155"/>
      <c r="G286" s="155"/>
      <c r="H286" s="157"/>
      <c r="I286" s="154"/>
      <c r="J286" s="154"/>
      <c r="K286" s="154"/>
      <c r="L286" s="155"/>
      <c r="M286" s="156"/>
      <c r="N286" s="155"/>
      <c r="O286" s="155"/>
      <c r="P286" s="155"/>
      <c r="Q286" s="157"/>
      <c r="R286" s="154"/>
      <c r="S286" s="154"/>
    </row>
    <row r="287">
      <c r="A287" s="154"/>
      <c r="B287" s="154"/>
      <c r="C287" s="155"/>
      <c r="D287" s="156"/>
      <c r="E287" s="155"/>
      <c r="F287" s="155"/>
      <c r="G287" s="155"/>
      <c r="H287" s="157"/>
      <c r="I287" s="154"/>
      <c r="J287" s="154"/>
      <c r="K287" s="154"/>
      <c r="L287" s="155"/>
      <c r="M287" s="156"/>
      <c r="N287" s="155"/>
      <c r="O287" s="155"/>
      <c r="P287" s="155"/>
      <c r="Q287" s="157"/>
      <c r="R287" s="154"/>
      <c r="S287" s="154"/>
    </row>
    <row r="288">
      <c r="A288" s="154"/>
      <c r="B288" s="154"/>
      <c r="C288" s="155"/>
      <c r="D288" s="156"/>
      <c r="E288" s="155"/>
      <c r="F288" s="155"/>
      <c r="G288" s="155"/>
      <c r="H288" s="157"/>
      <c r="I288" s="154"/>
      <c r="J288" s="154"/>
      <c r="K288" s="154"/>
      <c r="L288" s="155"/>
      <c r="M288" s="156"/>
      <c r="N288" s="155"/>
      <c r="O288" s="155"/>
      <c r="P288" s="155"/>
      <c r="Q288" s="157"/>
      <c r="R288" s="154"/>
      <c r="S288" s="154"/>
    </row>
    <row r="289">
      <c r="A289" s="154"/>
      <c r="B289" s="154"/>
      <c r="C289" s="155"/>
      <c r="D289" s="156"/>
      <c r="E289" s="155"/>
      <c r="F289" s="155"/>
      <c r="G289" s="155"/>
      <c r="H289" s="157"/>
      <c r="I289" s="154"/>
      <c r="J289" s="154"/>
      <c r="K289" s="154"/>
      <c r="L289" s="155"/>
      <c r="M289" s="156"/>
      <c r="N289" s="155"/>
      <c r="O289" s="155"/>
      <c r="P289" s="155"/>
      <c r="Q289" s="157"/>
      <c r="R289" s="154"/>
      <c r="S289" s="154"/>
    </row>
    <row r="290">
      <c r="A290" s="154"/>
      <c r="B290" s="154"/>
      <c r="C290" s="155"/>
      <c r="D290" s="156"/>
      <c r="E290" s="155"/>
      <c r="F290" s="155"/>
      <c r="G290" s="155"/>
      <c r="H290" s="157"/>
      <c r="I290" s="154"/>
      <c r="J290" s="154"/>
      <c r="K290" s="154"/>
      <c r="L290" s="155"/>
      <c r="M290" s="156"/>
      <c r="N290" s="155"/>
      <c r="O290" s="155"/>
      <c r="P290" s="155"/>
      <c r="Q290" s="157"/>
      <c r="R290" s="154"/>
      <c r="S290" s="154"/>
    </row>
    <row r="291">
      <c r="A291" s="154"/>
      <c r="B291" s="154"/>
      <c r="C291" s="155"/>
      <c r="D291" s="156"/>
      <c r="E291" s="155"/>
      <c r="F291" s="155"/>
      <c r="G291" s="155"/>
      <c r="H291" s="157"/>
      <c r="I291" s="154"/>
      <c r="J291" s="154"/>
      <c r="K291" s="154"/>
      <c r="L291" s="155"/>
      <c r="M291" s="156"/>
      <c r="N291" s="155"/>
      <c r="O291" s="155"/>
      <c r="P291" s="155"/>
      <c r="Q291" s="157"/>
      <c r="R291" s="154"/>
      <c r="S291" s="154"/>
    </row>
    <row r="292">
      <c r="A292" s="154"/>
      <c r="B292" s="154"/>
      <c r="C292" s="155"/>
      <c r="D292" s="156"/>
      <c r="E292" s="155"/>
      <c r="F292" s="155"/>
      <c r="G292" s="155"/>
      <c r="H292" s="157"/>
      <c r="I292" s="154"/>
      <c r="J292" s="154"/>
      <c r="K292" s="154"/>
      <c r="L292" s="155"/>
      <c r="M292" s="156"/>
      <c r="N292" s="155"/>
      <c r="O292" s="155"/>
      <c r="P292" s="155"/>
      <c r="Q292" s="157"/>
      <c r="R292" s="154"/>
      <c r="S292" s="154"/>
    </row>
    <row r="293">
      <c r="A293" s="154"/>
      <c r="B293" s="154"/>
      <c r="C293" s="155"/>
      <c r="D293" s="156"/>
      <c r="E293" s="155"/>
      <c r="F293" s="155"/>
      <c r="G293" s="155"/>
      <c r="H293" s="157"/>
      <c r="I293" s="154"/>
      <c r="J293" s="154"/>
      <c r="K293" s="154"/>
      <c r="L293" s="155"/>
      <c r="M293" s="156"/>
      <c r="N293" s="155"/>
      <c r="O293" s="155"/>
      <c r="P293" s="155"/>
      <c r="Q293" s="157"/>
      <c r="R293" s="154"/>
      <c r="S293" s="154"/>
    </row>
    <row r="294">
      <c r="A294" s="154"/>
      <c r="B294" s="154"/>
      <c r="C294" s="155"/>
      <c r="D294" s="156"/>
      <c r="E294" s="155"/>
      <c r="F294" s="155"/>
      <c r="G294" s="155"/>
      <c r="H294" s="157"/>
      <c r="I294" s="154"/>
      <c r="J294" s="154"/>
      <c r="K294" s="154"/>
      <c r="L294" s="155"/>
      <c r="M294" s="156"/>
      <c r="N294" s="155"/>
      <c r="O294" s="155"/>
      <c r="P294" s="155"/>
      <c r="Q294" s="157"/>
      <c r="R294" s="154"/>
      <c r="S294" s="154"/>
    </row>
    <row r="295">
      <c r="A295" s="154"/>
      <c r="B295" s="154"/>
      <c r="C295" s="155"/>
      <c r="D295" s="156"/>
      <c r="E295" s="155"/>
      <c r="F295" s="155"/>
      <c r="G295" s="155"/>
      <c r="H295" s="157"/>
      <c r="I295" s="154"/>
      <c r="J295" s="154"/>
      <c r="K295" s="154"/>
      <c r="L295" s="155"/>
      <c r="M295" s="156"/>
      <c r="N295" s="155"/>
      <c r="O295" s="155"/>
      <c r="P295" s="155"/>
      <c r="Q295" s="157"/>
      <c r="R295" s="154"/>
      <c r="S295" s="154"/>
    </row>
    <row r="296">
      <c r="A296" s="154"/>
      <c r="B296" s="154"/>
      <c r="C296" s="155"/>
      <c r="D296" s="156"/>
      <c r="E296" s="155"/>
      <c r="F296" s="155"/>
      <c r="G296" s="155"/>
      <c r="H296" s="157"/>
      <c r="I296" s="154"/>
      <c r="J296" s="154"/>
      <c r="K296" s="154"/>
      <c r="L296" s="155"/>
      <c r="M296" s="156"/>
      <c r="N296" s="155"/>
      <c r="O296" s="155"/>
      <c r="P296" s="155"/>
      <c r="Q296" s="157"/>
      <c r="R296" s="154"/>
      <c r="S296" s="154"/>
    </row>
    <row r="297">
      <c r="A297" s="154"/>
      <c r="B297" s="154"/>
      <c r="C297" s="155"/>
      <c r="D297" s="156"/>
      <c r="E297" s="155"/>
      <c r="F297" s="155"/>
      <c r="G297" s="155"/>
      <c r="H297" s="157"/>
      <c r="I297" s="154"/>
      <c r="J297" s="154"/>
      <c r="K297" s="154"/>
      <c r="L297" s="155"/>
      <c r="M297" s="156"/>
      <c r="N297" s="155"/>
      <c r="O297" s="155"/>
      <c r="P297" s="155"/>
      <c r="Q297" s="157"/>
      <c r="R297" s="154"/>
      <c r="S297" s="154"/>
    </row>
    <row r="298">
      <c r="A298" s="154"/>
      <c r="B298" s="154"/>
      <c r="C298" s="155"/>
      <c r="D298" s="156"/>
      <c r="E298" s="155"/>
      <c r="F298" s="155"/>
      <c r="G298" s="155"/>
      <c r="H298" s="157"/>
      <c r="I298" s="154"/>
      <c r="J298" s="154"/>
      <c r="K298" s="154"/>
      <c r="L298" s="155"/>
      <c r="M298" s="156"/>
      <c r="N298" s="155"/>
      <c r="O298" s="155"/>
      <c r="P298" s="155"/>
      <c r="Q298" s="157"/>
      <c r="R298" s="154"/>
      <c r="S298" s="154"/>
    </row>
    <row r="299">
      <c r="A299" s="154"/>
      <c r="B299" s="154"/>
      <c r="C299" s="155"/>
      <c r="D299" s="156"/>
      <c r="E299" s="155"/>
      <c r="F299" s="155"/>
      <c r="G299" s="155"/>
      <c r="H299" s="157"/>
      <c r="I299" s="154"/>
      <c r="J299" s="154"/>
      <c r="K299" s="154"/>
      <c r="L299" s="155"/>
      <c r="M299" s="156"/>
      <c r="N299" s="155"/>
      <c r="O299" s="155"/>
      <c r="P299" s="155"/>
      <c r="Q299" s="157"/>
      <c r="R299" s="154"/>
      <c r="S299" s="154"/>
    </row>
    <row r="300">
      <c r="A300" s="154"/>
      <c r="B300" s="154"/>
      <c r="C300" s="155"/>
      <c r="D300" s="156"/>
      <c r="E300" s="155"/>
      <c r="F300" s="155"/>
      <c r="G300" s="155"/>
      <c r="H300" s="157"/>
      <c r="I300" s="154"/>
      <c r="J300" s="154"/>
      <c r="K300" s="154"/>
      <c r="L300" s="155"/>
      <c r="M300" s="156"/>
      <c r="N300" s="155"/>
      <c r="O300" s="155"/>
      <c r="P300" s="155"/>
      <c r="Q300" s="157"/>
      <c r="R300" s="154"/>
      <c r="S300" s="154"/>
    </row>
    <row r="301">
      <c r="A301" s="154"/>
      <c r="B301" s="154"/>
      <c r="C301" s="155"/>
      <c r="D301" s="156"/>
      <c r="E301" s="155"/>
      <c r="F301" s="155"/>
      <c r="G301" s="155"/>
      <c r="H301" s="157"/>
      <c r="I301" s="154"/>
      <c r="J301" s="154"/>
      <c r="K301" s="154"/>
      <c r="L301" s="155"/>
      <c r="M301" s="156"/>
      <c r="N301" s="155"/>
      <c r="O301" s="155"/>
      <c r="P301" s="155"/>
      <c r="Q301" s="157"/>
      <c r="R301" s="154"/>
      <c r="S301" s="154"/>
    </row>
    <row r="302">
      <c r="A302" s="154"/>
      <c r="B302" s="154"/>
      <c r="C302" s="155"/>
      <c r="D302" s="156"/>
      <c r="E302" s="155"/>
      <c r="F302" s="155"/>
      <c r="G302" s="155"/>
      <c r="H302" s="157"/>
      <c r="I302" s="154"/>
      <c r="J302" s="154"/>
      <c r="K302" s="154"/>
      <c r="L302" s="155"/>
      <c r="M302" s="156"/>
      <c r="N302" s="155"/>
      <c r="O302" s="155"/>
      <c r="P302" s="155"/>
      <c r="Q302" s="157"/>
      <c r="R302" s="154"/>
      <c r="S302" s="154"/>
    </row>
    <row r="303">
      <c r="A303" s="154"/>
      <c r="B303" s="154"/>
      <c r="C303" s="155"/>
      <c r="D303" s="156"/>
      <c r="E303" s="155"/>
      <c r="F303" s="155"/>
      <c r="G303" s="155"/>
      <c r="H303" s="157"/>
      <c r="I303" s="154"/>
      <c r="J303" s="154"/>
      <c r="K303" s="154"/>
      <c r="L303" s="155"/>
      <c r="M303" s="156"/>
      <c r="N303" s="155"/>
      <c r="O303" s="155"/>
      <c r="P303" s="155"/>
      <c r="Q303" s="157"/>
      <c r="R303" s="154"/>
      <c r="S303" s="154"/>
    </row>
    <row r="304">
      <c r="A304" s="154"/>
      <c r="B304" s="154"/>
      <c r="C304" s="155"/>
      <c r="D304" s="156"/>
      <c r="E304" s="155"/>
      <c r="F304" s="155"/>
      <c r="G304" s="155"/>
      <c r="H304" s="157"/>
      <c r="I304" s="154"/>
      <c r="J304" s="154"/>
      <c r="K304" s="154"/>
      <c r="L304" s="155"/>
      <c r="M304" s="156"/>
      <c r="N304" s="155"/>
      <c r="O304" s="155"/>
      <c r="P304" s="155"/>
      <c r="Q304" s="157"/>
      <c r="R304" s="154"/>
      <c r="S304" s="154"/>
    </row>
    <row r="305">
      <c r="A305" s="154"/>
      <c r="B305" s="154"/>
      <c r="C305" s="155"/>
      <c r="D305" s="156"/>
      <c r="E305" s="155"/>
      <c r="F305" s="155"/>
      <c r="G305" s="155"/>
      <c r="H305" s="157"/>
      <c r="I305" s="154"/>
      <c r="J305" s="154"/>
      <c r="K305" s="154"/>
      <c r="L305" s="155"/>
      <c r="M305" s="156"/>
      <c r="N305" s="155"/>
      <c r="O305" s="155"/>
      <c r="P305" s="155"/>
      <c r="Q305" s="157"/>
      <c r="R305" s="154"/>
      <c r="S305" s="154"/>
    </row>
    <row r="306">
      <c r="A306" s="154"/>
      <c r="B306" s="154"/>
      <c r="C306" s="155"/>
      <c r="D306" s="156"/>
      <c r="E306" s="155"/>
      <c r="F306" s="155"/>
      <c r="G306" s="155"/>
      <c r="H306" s="157"/>
      <c r="I306" s="154"/>
      <c r="J306" s="154"/>
      <c r="K306" s="154"/>
      <c r="L306" s="155"/>
      <c r="M306" s="156"/>
      <c r="N306" s="155"/>
      <c r="O306" s="155"/>
      <c r="P306" s="155"/>
      <c r="Q306" s="157"/>
      <c r="R306" s="154"/>
      <c r="S306" s="154"/>
    </row>
    <row r="307">
      <c r="A307" s="154"/>
      <c r="B307" s="154"/>
      <c r="C307" s="155"/>
      <c r="D307" s="156"/>
      <c r="E307" s="155"/>
      <c r="F307" s="155"/>
      <c r="G307" s="155"/>
      <c r="H307" s="157"/>
      <c r="I307" s="154"/>
      <c r="J307" s="154"/>
      <c r="K307" s="154"/>
      <c r="L307" s="155"/>
      <c r="M307" s="156"/>
      <c r="N307" s="155"/>
      <c r="O307" s="155"/>
      <c r="P307" s="155"/>
      <c r="Q307" s="157"/>
      <c r="R307" s="154"/>
      <c r="S307" s="154"/>
    </row>
    <row r="308">
      <c r="A308" s="154"/>
      <c r="B308" s="154"/>
      <c r="C308" s="155"/>
      <c r="D308" s="156"/>
      <c r="E308" s="155"/>
      <c r="F308" s="155"/>
      <c r="G308" s="155"/>
      <c r="H308" s="157"/>
      <c r="I308" s="154"/>
      <c r="J308" s="154"/>
      <c r="K308" s="154"/>
      <c r="L308" s="155"/>
      <c r="M308" s="156"/>
      <c r="N308" s="155"/>
      <c r="O308" s="155"/>
      <c r="P308" s="155"/>
      <c r="Q308" s="157"/>
      <c r="R308" s="154"/>
      <c r="S308" s="154"/>
    </row>
    <row r="309">
      <c r="A309" s="154"/>
      <c r="B309" s="154"/>
      <c r="C309" s="155"/>
      <c r="D309" s="156"/>
      <c r="E309" s="155"/>
      <c r="F309" s="155"/>
      <c r="G309" s="155"/>
      <c r="H309" s="157"/>
      <c r="I309" s="154"/>
      <c r="J309" s="154"/>
      <c r="K309" s="154"/>
      <c r="L309" s="155"/>
      <c r="M309" s="156"/>
      <c r="N309" s="155"/>
      <c r="O309" s="155"/>
      <c r="P309" s="155"/>
      <c r="Q309" s="157"/>
      <c r="R309" s="154"/>
      <c r="S309" s="154"/>
    </row>
    <row r="310">
      <c r="A310" s="154"/>
      <c r="B310" s="154"/>
      <c r="C310" s="155"/>
      <c r="D310" s="156"/>
      <c r="E310" s="155"/>
      <c r="F310" s="155"/>
      <c r="G310" s="155"/>
      <c r="H310" s="157"/>
      <c r="I310" s="154"/>
      <c r="J310" s="154"/>
      <c r="K310" s="154"/>
      <c r="L310" s="155"/>
      <c r="M310" s="156"/>
      <c r="N310" s="155"/>
      <c r="O310" s="155"/>
      <c r="P310" s="155"/>
      <c r="Q310" s="157"/>
      <c r="R310" s="154"/>
      <c r="S310" s="154"/>
    </row>
    <row r="311">
      <c r="A311" s="154"/>
      <c r="B311" s="154"/>
      <c r="C311" s="155"/>
      <c r="D311" s="156"/>
      <c r="E311" s="155"/>
      <c r="F311" s="155"/>
      <c r="G311" s="155"/>
      <c r="H311" s="157"/>
      <c r="I311" s="154"/>
      <c r="J311" s="154"/>
      <c r="K311" s="154"/>
      <c r="L311" s="155"/>
      <c r="M311" s="156"/>
      <c r="N311" s="155"/>
      <c r="O311" s="155"/>
      <c r="P311" s="155"/>
      <c r="Q311" s="157"/>
      <c r="R311" s="154"/>
      <c r="S311" s="154"/>
    </row>
    <row r="312">
      <c r="A312" s="154"/>
      <c r="B312" s="154"/>
      <c r="C312" s="155"/>
      <c r="D312" s="156"/>
      <c r="E312" s="155"/>
      <c r="F312" s="155"/>
      <c r="G312" s="155"/>
      <c r="H312" s="157"/>
      <c r="I312" s="154"/>
      <c r="J312" s="154"/>
      <c r="K312" s="154"/>
      <c r="L312" s="155"/>
      <c r="M312" s="156"/>
      <c r="N312" s="155"/>
      <c r="O312" s="155"/>
      <c r="P312" s="155"/>
      <c r="Q312" s="157"/>
      <c r="R312" s="154"/>
      <c r="S312" s="154"/>
    </row>
    <row r="313">
      <c r="A313" s="154"/>
      <c r="B313" s="154"/>
      <c r="C313" s="155"/>
      <c r="D313" s="156"/>
      <c r="E313" s="155"/>
      <c r="F313" s="155"/>
      <c r="G313" s="155"/>
      <c r="H313" s="157"/>
      <c r="I313" s="154"/>
      <c r="J313" s="154"/>
      <c r="K313" s="154"/>
      <c r="L313" s="155"/>
      <c r="M313" s="156"/>
      <c r="N313" s="155"/>
      <c r="O313" s="155"/>
      <c r="P313" s="155"/>
      <c r="Q313" s="157"/>
      <c r="R313" s="154"/>
      <c r="S313" s="154"/>
    </row>
    <row r="314">
      <c r="A314" s="154"/>
      <c r="B314" s="154"/>
      <c r="C314" s="155"/>
      <c r="D314" s="156"/>
      <c r="E314" s="155"/>
      <c r="F314" s="155"/>
      <c r="G314" s="155"/>
      <c r="H314" s="157"/>
      <c r="I314" s="154"/>
      <c r="J314" s="154"/>
      <c r="K314" s="154"/>
      <c r="L314" s="155"/>
      <c r="M314" s="156"/>
      <c r="N314" s="155"/>
      <c r="O314" s="155"/>
      <c r="P314" s="155"/>
      <c r="Q314" s="157"/>
      <c r="R314" s="154"/>
      <c r="S314" s="154"/>
    </row>
    <row r="315">
      <c r="A315" s="154"/>
      <c r="B315" s="154"/>
      <c r="C315" s="155"/>
      <c r="D315" s="156"/>
      <c r="E315" s="155"/>
      <c r="F315" s="155"/>
      <c r="G315" s="155"/>
      <c r="H315" s="157"/>
      <c r="I315" s="154"/>
      <c r="J315" s="154"/>
      <c r="K315" s="154"/>
      <c r="L315" s="155"/>
      <c r="M315" s="156"/>
      <c r="N315" s="155"/>
      <c r="O315" s="155"/>
      <c r="P315" s="155"/>
      <c r="Q315" s="157"/>
      <c r="R315" s="154"/>
      <c r="S315" s="154"/>
    </row>
    <row r="316">
      <c r="A316" s="154"/>
      <c r="B316" s="154"/>
      <c r="C316" s="155"/>
      <c r="D316" s="156"/>
      <c r="E316" s="155"/>
      <c r="F316" s="155"/>
      <c r="G316" s="155"/>
      <c r="H316" s="157"/>
      <c r="I316" s="154"/>
      <c r="J316" s="154"/>
      <c r="K316" s="154"/>
      <c r="L316" s="155"/>
      <c r="M316" s="156"/>
      <c r="N316" s="155"/>
      <c r="O316" s="155"/>
      <c r="P316" s="155"/>
      <c r="Q316" s="157"/>
      <c r="R316" s="154"/>
      <c r="S316" s="154"/>
    </row>
    <row r="317">
      <c r="A317" s="154"/>
      <c r="B317" s="154"/>
      <c r="C317" s="155"/>
      <c r="D317" s="156"/>
      <c r="E317" s="155"/>
      <c r="F317" s="155"/>
      <c r="G317" s="155"/>
      <c r="H317" s="157"/>
      <c r="I317" s="154"/>
      <c r="J317" s="154"/>
      <c r="K317" s="154"/>
      <c r="L317" s="155"/>
      <c r="M317" s="156"/>
      <c r="N317" s="155"/>
      <c r="O317" s="155"/>
      <c r="P317" s="155"/>
      <c r="Q317" s="157"/>
      <c r="R317" s="154"/>
      <c r="S317" s="154"/>
    </row>
    <row r="318">
      <c r="A318" s="154"/>
      <c r="B318" s="154"/>
      <c r="C318" s="155"/>
      <c r="D318" s="156"/>
      <c r="E318" s="155"/>
      <c r="F318" s="155"/>
      <c r="G318" s="155"/>
      <c r="H318" s="157"/>
      <c r="I318" s="154"/>
      <c r="J318" s="154"/>
      <c r="K318" s="154"/>
      <c r="L318" s="155"/>
      <c r="M318" s="156"/>
      <c r="N318" s="155"/>
      <c r="O318" s="155"/>
      <c r="P318" s="155"/>
      <c r="Q318" s="157"/>
      <c r="R318" s="154"/>
      <c r="S318" s="154"/>
    </row>
    <row r="319">
      <c r="A319" s="154"/>
      <c r="B319" s="154"/>
      <c r="C319" s="155"/>
      <c r="D319" s="156"/>
      <c r="E319" s="155"/>
      <c r="F319" s="155"/>
      <c r="G319" s="155"/>
      <c r="H319" s="157"/>
      <c r="I319" s="154"/>
      <c r="J319" s="154"/>
      <c r="K319" s="154"/>
      <c r="L319" s="155"/>
      <c r="M319" s="156"/>
      <c r="N319" s="155"/>
      <c r="O319" s="155"/>
      <c r="P319" s="155"/>
      <c r="Q319" s="157"/>
      <c r="R319" s="154"/>
      <c r="S319" s="154"/>
    </row>
    <row r="320">
      <c r="A320" s="154"/>
      <c r="B320" s="154"/>
      <c r="C320" s="155"/>
      <c r="D320" s="156"/>
      <c r="E320" s="155"/>
      <c r="F320" s="155"/>
      <c r="G320" s="155"/>
      <c r="H320" s="157"/>
      <c r="I320" s="154"/>
      <c r="J320" s="154"/>
      <c r="K320" s="154"/>
      <c r="L320" s="155"/>
      <c r="M320" s="156"/>
      <c r="N320" s="155"/>
      <c r="O320" s="155"/>
      <c r="P320" s="155"/>
      <c r="Q320" s="157"/>
      <c r="R320" s="154"/>
      <c r="S320" s="154"/>
    </row>
    <row r="321">
      <c r="A321" s="154"/>
      <c r="B321" s="154"/>
      <c r="C321" s="155"/>
      <c r="D321" s="156"/>
      <c r="E321" s="155"/>
      <c r="F321" s="155"/>
      <c r="G321" s="155"/>
      <c r="H321" s="157"/>
      <c r="I321" s="154"/>
      <c r="J321" s="154"/>
      <c r="K321" s="154"/>
      <c r="L321" s="155"/>
      <c r="M321" s="156"/>
      <c r="N321" s="155"/>
      <c r="O321" s="155"/>
      <c r="P321" s="155"/>
      <c r="Q321" s="157"/>
      <c r="R321" s="154"/>
      <c r="S321" s="154"/>
    </row>
    <row r="322">
      <c r="A322" s="154"/>
      <c r="B322" s="154"/>
      <c r="C322" s="155"/>
      <c r="D322" s="156"/>
      <c r="E322" s="155"/>
      <c r="F322" s="155"/>
      <c r="G322" s="155"/>
      <c r="H322" s="157"/>
      <c r="I322" s="154"/>
      <c r="J322" s="154"/>
      <c r="K322" s="154"/>
      <c r="L322" s="155"/>
      <c r="M322" s="156"/>
      <c r="N322" s="155"/>
      <c r="O322" s="155"/>
      <c r="P322" s="155"/>
      <c r="Q322" s="157"/>
      <c r="R322" s="154"/>
      <c r="S322" s="154"/>
    </row>
    <row r="323">
      <c r="A323" s="154"/>
      <c r="B323" s="154"/>
      <c r="C323" s="155"/>
      <c r="D323" s="156"/>
      <c r="E323" s="155"/>
      <c r="F323" s="155"/>
      <c r="G323" s="155"/>
      <c r="H323" s="157"/>
      <c r="I323" s="154"/>
      <c r="J323" s="154"/>
      <c r="K323" s="154"/>
      <c r="L323" s="155"/>
      <c r="M323" s="156"/>
      <c r="N323" s="155"/>
      <c r="O323" s="155"/>
      <c r="P323" s="155"/>
      <c r="Q323" s="157"/>
      <c r="R323" s="154"/>
      <c r="S323" s="154"/>
    </row>
    <row r="324">
      <c r="A324" s="154"/>
      <c r="B324" s="154"/>
      <c r="C324" s="155"/>
      <c r="D324" s="156"/>
      <c r="E324" s="155"/>
      <c r="F324" s="155"/>
      <c r="G324" s="155"/>
      <c r="H324" s="157"/>
      <c r="I324" s="154"/>
      <c r="J324" s="154"/>
      <c r="K324" s="154"/>
      <c r="L324" s="155"/>
      <c r="M324" s="156"/>
      <c r="N324" s="155"/>
      <c r="O324" s="155"/>
      <c r="P324" s="155"/>
      <c r="Q324" s="157"/>
      <c r="R324" s="154"/>
      <c r="S324" s="154"/>
    </row>
    <row r="325">
      <c r="A325" s="154"/>
      <c r="B325" s="154"/>
      <c r="C325" s="155"/>
      <c r="D325" s="156"/>
      <c r="E325" s="155"/>
      <c r="F325" s="155"/>
      <c r="G325" s="155"/>
      <c r="H325" s="157"/>
      <c r="I325" s="154"/>
      <c r="J325" s="154"/>
      <c r="K325" s="154"/>
      <c r="L325" s="155"/>
      <c r="M325" s="156"/>
      <c r="N325" s="155"/>
      <c r="O325" s="155"/>
      <c r="P325" s="155"/>
      <c r="Q325" s="157"/>
      <c r="R325" s="154"/>
      <c r="S325" s="154"/>
    </row>
    <row r="326">
      <c r="A326" s="154"/>
      <c r="B326" s="154"/>
      <c r="C326" s="155"/>
      <c r="D326" s="156"/>
      <c r="E326" s="155"/>
      <c r="F326" s="155"/>
      <c r="G326" s="155"/>
      <c r="H326" s="157"/>
      <c r="I326" s="154"/>
      <c r="J326" s="154"/>
      <c r="K326" s="154"/>
      <c r="L326" s="155"/>
      <c r="M326" s="156"/>
      <c r="N326" s="155"/>
      <c r="O326" s="155"/>
      <c r="P326" s="155"/>
      <c r="Q326" s="157"/>
      <c r="R326" s="154"/>
      <c r="S326" s="154"/>
    </row>
    <row r="327">
      <c r="A327" s="154"/>
      <c r="B327" s="154"/>
      <c r="C327" s="155"/>
      <c r="D327" s="156"/>
      <c r="E327" s="155"/>
      <c r="F327" s="155"/>
      <c r="G327" s="155"/>
      <c r="H327" s="157"/>
      <c r="I327" s="154"/>
      <c r="J327" s="154"/>
      <c r="K327" s="154"/>
      <c r="L327" s="155"/>
      <c r="M327" s="156"/>
      <c r="N327" s="155"/>
      <c r="O327" s="155"/>
      <c r="P327" s="155"/>
      <c r="Q327" s="157"/>
      <c r="R327" s="154"/>
      <c r="S327" s="154"/>
    </row>
    <row r="328">
      <c r="A328" s="154"/>
      <c r="B328" s="154"/>
      <c r="C328" s="155"/>
      <c r="D328" s="156"/>
      <c r="E328" s="155"/>
      <c r="F328" s="155"/>
      <c r="G328" s="155"/>
      <c r="H328" s="157"/>
      <c r="I328" s="154"/>
      <c r="J328" s="154"/>
      <c r="K328" s="154"/>
      <c r="L328" s="155"/>
      <c r="M328" s="156"/>
      <c r="N328" s="155"/>
      <c r="O328" s="155"/>
      <c r="P328" s="155"/>
      <c r="Q328" s="157"/>
      <c r="R328" s="154"/>
      <c r="S328" s="154"/>
    </row>
    <row r="329">
      <c r="A329" s="154"/>
      <c r="B329" s="154"/>
      <c r="C329" s="155"/>
      <c r="D329" s="156"/>
      <c r="E329" s="155"/>
      <c r="F329" s="155"/>
      <c r="G329" s="155"/>
      <c r="H329" s="157"/>
      <c r="I329" s="154"/>
      <c r="J329" s="154"/>
      <c r="K329" s="154"/>
      <c r="L329" s="155"/>
      <c r="M329" s="156"/>
      <c r="N329" s="155"/>
      <c r="O329" s="155"/>
      <c r="P329" s="155"/>
      <c r="Q329" s="157"/>
      <c r="R329" s="154"/>
      <c r="S329" s="154"/>
    </row>
    <row r="330">
      <c r="A330" s="154"/>
      <c r="B330" s="154"/>
      <c r="C330" s="155"/>
      <c r="D330" s="156"/>
      <c r="E330" s="155"/>
      <c r="F330" s="155"/>
      <c r="G330" s="155"/>
      <c r="H330" s="157"/>
      <c r="I330" s="154"/>
      <c r="J330" s="154"/>
      <c r="K330" s="154"/>
      <c r="L330" s="155"/>
      <c r="M330" s="156"/>
      <c r="N330" s="155"/>
      <c r="O330" s="155"/>
      <c r="P330" s="155"/>
      <c r="Q330" s="157"/>
      <c r="R330" s="154"/>
      <c r="S330" s="154"/>
    </row>
    <row r="331">
      <c r="A331" s="154"/>
      <c r="B331" s="154"/>
      <c r="C331" s="155"/>
      <c r="D331" s="156"/>
      <c r="E331" s="155"/>
      <c r="F331" s="155"/>
      <c r="G331" s="155"/>
      <c r="H331" s="157"/>
      <c r="I331" s="154"/>
      <c r="J331" s="154"/>
      <c r="K331" s="154"/>
      <c r="L331" s="155"/>
      <c r="M331" s="156"/>
      <c r="N331" s="155"/>
      <c r="O331" s="155"/>
      <c r="P331" s="155"/>
      <c r="Q331" s="157"/>
      <c r="R331" s="154"/>
      <c r="S331" s="154"/>
    </row>
    <row r="332">
      <c r="A332" s="154"/>
      <c r="B332" s="154"/>
      <c r="C332" s="155"/>
      <c r="D332" s="156"/>
      <c r="E332" s="155"/>
      <c r="F332" s="155"/>
      <c r="G332" s="155"/>
      <c r="H332" s="157"/>
      <c r="I332" s="154"/>
      <c r="J332" s="154"/>
      <c r="K332" s="154"/>
      <c r="L332" s="155"/>
      <c r="M332" s="156"/>
      <c r="N332" s="155"/>
      <c r="O332" s="155"/>
      <c r="P332" s="155"/>
      <c r="Q332" s="157"/>
      <c r="R332" s="154"/>
      <c r="S332" s="154"/>
    </row>
    <row r="333">
      <c r="A333" s="154"/>
      <c r="B333" s="154"/>
      <c r="C333" s="155"/>
      <c r="D333" s="156"/>
      <c r="E333" s="155"/>
      <c r="F333" s="155"/>
      <c r="G333" s="155"/>
      <c r="H333" s="157"/>
      <c r="I333" s="154"/>
      <c r="J333" s="154"/>
      <c r="K333" s="154"/>
      <c r="L333" s="155"/>
      <c r="M333" s="156"/>
      <c r="N333" s="155"/>
      <c r="O333" s="155"/>
      <c r="P333" s="155"/>
      <c r="Q333" s="157"/>
      <c r="R333" s="154"/>
      <c r="S333" s="154"/>
    </row>
    <row r="334">
      <c r="A334" s="154"/>
      <c r="B334" s="154"/>
      <c r="C334" s="155"/>
      <c r="D334" s="156"/>
      <c r="E334" s="155"/>
      <c r="F334" s="155"/>
      <c r="G334" s="155"/>
      <c r="H334" s="157"/>
      <c r="I334" s="154"/>
      <c r="J334" s="154"/>
      <c r="K334" s="154"/>
      <c r="L334" s="155"/>
      <c r="M334" s="156"/>
      <c r="N334" s="155"/>
      <c r="O334" s="155"/>
      <c r="P334" s="155"/>
      <c r="Q334" s="157"/>
      <c r="R334" s="154"/>
      <c r="S334" s="154"/>
    </row>
    <row r="335">
      <c r="A335" s="154"/>
      <c r="B335" s="154"/>
      <c r="C335" s="155"/>
      <c r="D335" s="156"/>
      <c r="E335" s="155"/>
      <c r="F335" s="155"/>
      <c r="G335" s="155"/>
      <c r="H335" s="157"/>
      <c r="I335" s="154"/>
      <c r="J335" s="154"/>
      <c r="K335" s="154"/>
      <c r="L335" s="155"/>
      <c r="M335" s="156"/>
      <c r="N335" s="155"/>
      <c r="O335" s="155"/>
      <c r="P335" s="155"/>
      <c r="Q335" s="157"/>
      <c r="R335" s="154"/>
      <c r="S335" s="154"/>
    </row>
    <row r="336">
      <c r="A336" s="154"/>
      <c r="B336" s="154"/>
      <c r="C336" s="155"/>
      <c r="D336" s="156"/>
      <c r="E336" s="155"/>
      <c r="F336" s="155"/>
      <c r="G336" s="155"/>
      <c r="H336" s="157"/>
      <c r="I336" s="154"/>
      <c r="J336" s="154"/>
      <c r="K336" s="154"/>
      <c r="L336" s="155"/>
      <c r="M336" s="156"/>
      <c r="N336" s="155"/>
      <c r="O336" s="155"/>
      <c r="P336" s="155"/>
      <c r="Q336" s="157"/>
      <c r="R336" s="154"/>
      <c r="S336" s="154"/>
    </row>
    <row r="337">
      <c r="A337" s="154"/>
      <c r="B337" s="154"/>
      <c r="C337" s="155"/>
      <c r="D337" s="156"/>
      <c r="E337" s="155"/>
      <c r="F337" s="155"/>
      <c r="G337" s="155"/>
      <c r="H337" s="157"/>
      <c r="I337" s="154"/>
      <c r="J337" s="154"/>
      <c r="K337" s="154"/>
      <c r="L337" s="155"/>
      <c r="M337" s="156"/>
      <c r="N337" s="155"/>
      <c r="O337" s="155"/>
      <c r="P337" s="155"/>
      <c r="Q337" s="157"/>
      <c r="R337" s="154"/>
      <c r="S337" s="154"/>
    </row>
    <row r="338">
      <c r="A338" s="154"/>
      <c r="B338" s="154"/>
      <c r="C338" s="155"/>
      <c r="D338" s="156"/>
      <c r="E338" s="155"/>
      <c r="F338" s="155"/>
      <c r="G338" s="155"/>
      <c r="H338" s="157"/>
      <c r="I338" s="154"/>
      <c r="J338" s="154"/>
      <c r="K338" s="154"/>
      <c r="L338" s="155"/>
      <c r="M338" s="156"/>
      <c r="N338" s="155"/>
      <c r="O338" s="155"/>
      <c r="P338" s="155"/>
      <c r="Q338" s="157"/>
      <c r="R338" s="154"/>
      <c r="S338" s="154"/>
    </row>
    <row r="339">
      <c r="A339" s="154"/>
      <c r="B339" s="154"/>
      <c r="C339" s="155"/>
      <c r="D339" s="156"/>
      <c r="E339" s="155"/>
      <c r="F339" s="155"/>
      <c r="G339" s="155"/>
      <c r="H339" s="157"/>
      <c r="I339" s="154"/>
      <c r="J339" s="154"/>
      <c r="K339" s="154"/>
      <c r="L339" s="155"/>
      <c r="M339" s="156"/>
      <c r="N339" s="155"/>
      <c r="O339" s="155"/>
      <c r="P339" s="155"/>
      <c r="Q339" s="157"/>
      <c r="R339" s="154"/>
      <c r="S339" s="154"/>
    </row>
    <row r="340">
      <c r="A340" s="154"/>
      <c r="B340" s="154"/>
      <c r="C340" s="155"/>
      <c r="D340" s="156"/>
      <c r="E340" s="155"/>
      <c r="F340" s="155"/>
      <c r="G340" s="155"/>
      <c r="H340" s="157"/>
      <c r="I340" s="154"/>
      <c r="J340" s="154"/>
      <c r="K340" s="154"/>
      <c r="L340" s="155"/>
      <c r="M340" s="156"/>
      <c r="N340" s="155"/>
      <c r="O340" s="155"/>
      <c r="P340" s="155"/>
      <c r="Q340" s="157"/>
      <c r="R340" s="154"/>
      <c r="S340" s="154"/>
    </row>
    <row r="341">
      <c r="A341" s="154"/>
      <c r="B341" s="154"/>
      <c r="C341" s="155"/>
      <c r="D341" s="156"/>
      <c r="E341" s="155"/>
      <c r="F341" s="155"/>
      <c r="G341" s="155"/>
      <c r="H341" s="157"/>
      <c r="I341" s="154"/>
      <c r="J341" s="154"/>
      <c r="K341" s="154"/>
      <c r="L341" s="155"/>
      <c r="M341" s="156"/>
      <c r="N341" s="155"/>
      <c r="O341" s="155"/>
      <c r="P341" s="155"/>
      <c r="Q341" s="157"/>
      <c r="R341" s="154"/>
      <c r="S341" s="154"/>
    </row>
    <row r="342">
      <c r="A342" s="154"/>
      <c r="B342" s="154"/>
      <c r="C342" s="155"/>
      <c r="D342" s="156"/>
      <c r="E342" s="155"/>
      <c r="F342" s="155"/>
      <c r="G342" s="155"/>
      <c r="H342" s="157"/>
      <c r="I342" s="154"/>
      <c r="J342" s="154"/>
      <c r="K342" s="154"/>
      <c r="L342" s="155"/>
      <c r="M342" s="156"/>
      <c r="N342" s="155"/>
      <c r="O342" s="155"/>
      <c r="P342" s="155"/>
      <c r="Q342" s="157"/>
      <c r="R342" s="154"/>
      <c r="S342" s="154"/>
    </row>
    <row r="343">
      <c r="A343" s="154"/>
      <c r="B343" s="154"/>
      <c r="C343" s="155"/>
      <c r="D343" s="156"/>
      <c r="E343" s="155"/>
      <c r="F343" s="155"/>
      <c r="G343" s="155"/>
      <c r="H343" s="157"/>
      <c r="I343" s="154"/>
      <c r="J343" s="154"/>
      <c r="K343" s="154"/>
      <c r="L343" s="155"/>
      <c r="M343" s="156"/>
      <c r="N343" s="155"/>
      <c r="O343" s="155"/>
      <c r="P343" s="155"/>
      <c r="Q343" s="157"/>
      <c r="R343" s="154"/>
      <c r="S343" s="154"/>
    </row>
    <row r="344">
      <c r="A344" s="154"/>
      <c r="B344" s="154"/>
      <c r="C344" s="155"/>
      <c r="D344" s="156"/>
      <c r="E344" s="155"/>
      <c r="F344" s="155"/>
      <c r="G344" s="155"/>
      <c r="H344" s="157"/>
      <c r="I344" s="154"/>
      <c r="J344" s="154"/>
      <c r="K344" s="154"/>
      <c r="L344" s="155"/>
      <c r="M344" s="156"/>
      <c r="N344" s="155"/>
      <c r="O344" s="155"/>
      <c r="P344" s="155"/>
      <c r="Q344" s="157"/>
      <c r="R344" s="154"/>
      <c r="S344" s="154"/>
    </row>
    <row r="345">
      <c r="A345" s="154"/>
      <c r="B345" s="154"/>
      <c r="C345" s="155"/>
      <c r="D345" s="156"/>
      <c r="E345" s="155"/>
      <c r="F345" s="155"/>
      <c r="G345" s="155"/>
      <c r="H345" s="157"/>
      <c r="I345" s="154"/>
      <c r="J345" s="154"/>
      <c r="K345" s="154"/>
      <c r="L345" s="155"/>
      <c r="M345" s="156"/>
      <c r="N345" s="155"/>
      <c r="O345" s="155"/>
      <c r="P345" s="155"/>
      <c r="Q345" s="157"/>
      <c r="R345" s="154"/>
      <c r="S345" s="154"/>
    </row>
    <row r="346">
      <c r="A346" s="154"/>
      <c r="B346" s="154"/>
      <c r="C346" s="155"/>
      <c r="D346" s="156"/>
      <c r="E346" s="155"/>
      <c r="F346" s="155"/>
      <c r="G346" s="155"/>
      <c r="H346" s="157"/>
      <c r="I346" s="154"/>
      <c r="J346" s="154"/>
      <c r="K346" s="154"/>
      <c r="L346" s="155"/>
      <c r="M346" s="156"/>
      <c r="N346" s="155"/>
      <c r="O346" s="155"/>
      <c r="P346" s="155"/>
      <c r="Q346" s="157"/>
      <c r="R346" s="154"/>
      <c r="S346" s="154"/>
    </row>
    <row r="347">
      <c r="A347" s="154"/>
      <c r="B347" s="154"/>
      <c r="C347" s="155"/>
      <c r="D347" s="156"/>
      <c r="E347" s="155"/>
      <c r="F347" s="155"/>
      <c r="G347" s="155"/>
      <c r="H347" s="157"/>
      <c r="I347" s="154"/>
      <c r="J347" s="154"/>
      <c r="K347" s="154"/>
      <c r="L347" s="155"/>
      <c r="M347" s="156"/>
      <c r="N347" s="155"/>
      <c r="O347" s="155"/>
      <c r="P347" s="155"/>
      <c r="Q347" s="157"/>
      <c r="R347" s="154"/>
      <c r="S347" s="154"/>
    </row>
    <row r="348">
      <c r="A348" s="154"/>
      <c r="B348" s="154"/>
      <c r="C348" s="155"/>
      <c r="D348" s="156"/>
      <c r="E348" s="155"/>
      <c r="F348" s="155"/>
      <c r="G348" s="155"/>
      <c r="H348" s="157"/>
      <c r="I348" s="154"/>
      <c r="J348" s="154"/>
      <c r="K348" s="154"/>
      <c r="L348" s="155"/>
      <c r="M348" s="156"/>
      <c r="N348" s="155"/>
      <c r="O348" s="155"/>
      <c r="P348" s="155"/>
      <c r="Q348" s="157"/>
      <c r="R348" s="154"/>
      <c r="S348" s="154"/>
    </row>
    <row r="349">
      <c r="A349" s="154"/>
      <c r="B349" s="154"/>
      <c r="C349" s="155"/>
      <c r="D349" s="156"/>
      <c r="E349" s="155"/>
      <c r="F349" s="155"/>
      <c r="G349" s="155"/>
      <c r="H349" s="157"/>
      <c r="I349" s="154"/>
      <c r="J349" s="154"/>
      <c r="K349" s="154"/>
      <c r="L349" s="155"/>
      <c r="M349" s="156"/>
      <c r="N349" s="155"/>
      <c r="O349" s="155"/>
      <c r="P349" s="155"/>
      <c r="Q349" s="157"/>
      <c r="R349" s="154"/>
      <c r="S349" s="154"/>
    </row>
    <row r="350">
      <c r="A350" s="154"/>
      <c r="B350" s="154"/>
      <c r="C350" s="155"/>
      <c r="D350" s="156"/>
      <c r="E350" s="155"/>
      <c r="F350" s="155"/>
      <c r="G350" s="155"/>
      <c r="H350" s="157"/>
      <c r="I350" s="154"/>
      <c r="J350" s="154"/>
      <c r="K350" s="154"/>
      <c r="L350" s="155"/>
      <c r="M350" s="156"/>
      <c r="N350" s="155"/>
      <c r="O350" s="155"/>
      <c r="P350" s="155"/>
      <c r="Q350" s="157"/>
      <c r="R350" s="154"/>
      <c r="S350" s="154"/>
    </row>
    <row r="351">
      <c r="A351" s="154"/>
      <c r="B351" s="154"/>
      <c r="C351" s="155"/>
      <c r="D351" s="156"/>
      <c r="E351" s="155"/>
      <c r="F351" s="155"/>
      <c r="G351" s="155"/>
      <c r="H351" s="157"/>
      <c r="I351" s="154"/>
      <c r="J351" s="154"/>
      <c r="K351" s="154"/>
      <c r="L351" s="155"/>
      <c r="M351" s="156"/>
      <c r="N351" s="155"/>
      <c r="O351" s="155"/>
      <c r="P351" s="155"/>
      <c r="Q351" s="157"/>
      <c r="R351" s="154"/>
      <c r="S351" s="154"/>
    </row>
    <row r="352">
      <c r="A352" s="154"/>
      <c r="B352" s="154"/>
      <c r="C352" s="155"/>
      <c r="D352" s="156"/>
      <c r="E352" s="155"/>
      <c r="F352" s="155"/>
      <c r="G352" s="155"/>
      <c r="H352" s="157"/>
      <c r="I352" s="154"/>
      <c r="J352" s="154"/>
      <c r="K352" s="154"/>
      <c r="L352" s="155"/>
      <c r="M352" s="156"/>
      <c r="N352" s="155"/>
      <c r="O352" s="155"/>
      <c r="P352" s="155"/>
      <c r="Q352" s="157"/>
      <c r="R352" s="154"/>
      <c r="S352" s="154"/>
    </row>
    <row r="353">
      <c r="A353" s="154"/>
      <c r="B353" s="154"/>
      <c r="C353" s="155"/>
      <c r="D353" s="156"/>
      <c r="E353" s="155"/>
      <c r="F353" s="155"/>
      <c r="G353" s="155"/>
      <c r="H353" s="157"/>
      <c r="I353" s="154"/>
      <c r="J353" s="154"/>
      <c r="K353" s="154"/>
      <c r="L353" s="155"/>
      <c r="M353" s="156"/>
      <c r="N353" s="155"/>
      <c r="O353" s="155"/>
      <c r="P353" s="155"/>
      <c r="Q353" s="157"/>
      <c r="R353" s="154"/>
      <c r="S353" s="154"/>
    </row>
    <row r="354">
      <c r="A354" s="154"/>
      <c r="B354" s="154"/>
      <c r="C354" s="155"/>
      <c r="D354" s="156"/>
      <c r="E354" s="155"/>
      <c r="F354" s="155"/>
      <c r="G354" s="155"/>
      <c r="H354" s="157"/>
      <c r="I354" s="154"/>
      <c r="J354" s="154"/>
      <c r="K354" s="154"/>
      <c r="L354" s="155"/>
      <c r="M354" s="156"/>
      <c r="N354" s="155"/>
      <c r="O354" s="155"/>
      <c r="P354" s="155"/>
      <c r="Q354" s="157"/>
      <c r="R354" s="154"/>
      <c r="S354" s="154"/>
    </row>
    <row r="355">
      <c r="A355" s="154"/>
      <c r="B355" s="154"/>
      <c r="C355" s="155"/>
      <c r="D355" s="156"/>
      <c r="E355" s="155"/>
      <c r="F355" s="155"/>
      <c r="G355" s="155"/>
      <c r="H355" s="157"/>
      <c r="I355" s="154"/>
      <c r="J355" s="154"/>
      <c r="K355" s="154"/>
      <c r="L355" s="155"/>
      <c r="M355" s="156"/>
      <c r="N355" s="155"/>
      <c r="O355" s="155"/>
      <c r="P355" s="155"/>
      <c r="Q355" s="157"/>
      <c r="R355" s="154"/>
      <c r="S355" s="154"/>
    </row>
    <row r="356">
      <c r="A356" s="154"/>
      <c r="B356" s="154"/>
      <c r="C356" s="155"/>
      <c r="D356" s="156"/>
      <c r="E356" s="155"/>
      <c r="F356" s="155"/>
      <c r="G356" s="155"/>
      <c r="H356" s="157"/>
      <c r="I356" s="154"/>
      <c r="J356" s="154"/>
      <c r="K356" s="154"/>
      <c r="L356" s="155"/>
      <c r="M356" s="156"/>
      <c r="N356" s="155"/>
      <c r="O356" s="155"/>
      <c r="P356" s="155"/>
      <c r="Q356" s="157"/>
      <c r="R356" s="154"/>
      <c r="S356" s="154"/>
    </row>
    <row r="357">
      <c r="A357" s="154"/>
      <c r="B357" s="154"/>
      <c r="C357" s="155"/>
      <c r="D357" s="156"/>
      <c r="E357" s="155"/>
      <c r="F357" s="155"/>
      <c r="G357" s="155"/>
      <c r="H357" s="157"/>
      <c r="I357" s="154"/>
      <c r="J357" s="154"/>
      <c r="K357" s="154"/>
      <c r="L357" s="155"/>
      <c r="M357" s="156"/>
      <c r="N357" s="155"/>
      <c r="O357" s="155"/>
      <c r="P357" s="155"/>
      <c r="Q357" s="157"/>
      <c r="R357" s="154"/>
      <c r="S357" s="154"/>
    </row>
    <row r="358">
      <c r="A358" s="154"/>
      <c r="B358" s="154"/>
      <c r="C358" s="155"/>
      <c r="D358" s="156"/>
      <c r="E358" s="155"/>
      <c r="F358" s="155"/>
      <c r="G358" s="155"/>
      <c r="H358" s="157"/>
      <c r="I358" s="154"/>
      <c r="J358" s="154"/>
      <c r="K358" s="154"/>
      <c r="L358" s="155"/>
      <c r="M358" s="156"/>
      <c r="N358" s="155"/>
      <c r="O358" s="155"/>
      <c r="P358" s="155"/>
      <c r="Q358" s="157"/>
      <c r="R358" s="154"/>
      <c r="S358" s="154"/>
    </row>
    <row r="359">
      <c r="A359" s="154"/>
      <c r="B359" s="154"/>
      <c r="C359" s="155"/>
      <c r="D359" s="156"/>
      <c r="E359" s="155"/>
      <c r="F359" s="155"/>
      <c r="G359" s="155"/>
      <c r="H359" s="157"/>
      <c r="I359" s="154"/>
      <c r="J359" s="154"/>
      <c r="K359" s="154"/>
      <c r="L359" s="155"/>
      <c r="M359" s="156"/>
      <c r="N359" s="155"/>
      <c r="O359" s="155"/>
      <c r="P359" s="155"/>
      <c r="Q359" s="157"/>
      <c r="R359" s="154"/>
      <c r="S359" s="154"/>
    </row>
    <row r="360">
      <c r="A360" s="154"/>
      <c r="B360" s="154"/>
      <c r="C360" s="155"/>
      <c r="D360" s="156"/>
      <c r="E360" s="155"/>
      <c r="F360" s="155"/>
      <c r="G360" s="155"/>
      <c r="H360" s="157"/>
      <c r="I360" s="154"/>
      <c r="J360" s="154"/>
      <c r="K360" s="154"/>
      <c r="L360" s="155"/>
      <c r="M360" s="156"/>
      <c r="N360" s="155"/>
      <c r="O360" s="155"/>
      <c r="P360" s="155"/>
      <c r="Q360" s="157"/>
      <c r="R360" s="154"/>
      <c r="S360" s="154"/>
    </row>
    <row r="361">
      <c r="A361" s="154"/>
      <c r="B361" s="154"/>
      <c r="C361" s="155"/>
      <c r="D361" s="156"/>
      <c r="E361" s="155"/>
      <c r="F361" s="155"/>
      <c r="G361" s="155"/>
      <c r="H361" s="157"/>
      <c r="I361" s="154"/>
      <c r="J361" s="154"/>
      <c r="K361" s="154"/>
      <c r="L361" s="155"/>
      <c r="M361" s="156"/>
      <c r="N361" s="155"/>
      <c r="O361" s="155"/>
      <c r="P361" s="155"/>
      <c r="Q361" s="157"/>
      <c r="R361" s="154"/>
      <c r="S361" s="154"/>
    </row>
    <row r="362">
      <c r="A362" s="154"/>
      <c r="B362" s="154"/>
      <c r="C362" s="155"/>
      <c r="D362" s="156"/>
      <c r="E362" s="155"/>
      <c r="F362" s="155"/>
      <c r="G362" s="155"/>
      <c r="H362" s="157"/>
      <c r="I362" s="154"/>
      <c r="J362" s="154"/>
      <c r="K362" s="154"/>
      <c r="L362" s="155"/>
      <c r="M362" s="156"/>
      <c r="N362" s="155"/>
      <c r="O362" s="155"/>
      <c r="P362" s="155"/>
      <c r="Q362" s="157"/>
      <c r="R362" s="154"/>
      <c r="S362" s="154"/>
    </row>
    <row r="363">
      <c r="A363" s="154"/>
      <c r="B363" s="154"/>
      <c r="C363" s="155"/>
      <c r="D363" s="156"/>
      <c r="E363" s="155"/>
      <c r="F363" s="155"/>
      <c r="G363" s="155"/>
      <c r="H363" s="157"/>
      <c r="I363" s="154"/>
      <c r="J363" s="154"/>
      <c r="K363" s="154"/>
      <c r="L363" s="155"/>
      <c r="M363" s="156"/>
      <c r="N363" s="155"/>
      <c r="O363" s="155"/>
      <c r="P363" s="155"/>
      <c r="Q363" s="157"/>
      <c r="R363" s="154"/>
      <c r="S363" s="154"/>
    </row>
    <row r="364">
      <c r="A364" s="154"/>
      <c r="B364" s="154"/>
      <c r="C364" s="155"/>
      <c r="D364" s="156"/>
      <c r="E364" s="155"/>
      <c r="F364" s="155"/>
      <c r="G364" s="155"/>
      <c r="H364" s="157"/>
      <c r="I364" s="154"/>
      <c r="J364" s="154"/>
      <c r="K364" s="154"/>
      <c r="L364" s="155"/>
      <c r="M364" s="156"/>
      <c r="N364" s="155"/>
      <c r="O364" s="155"/>
      <c r="P364" s="155"/>
      <c r="Q364" s="157"/>
      <c r="R364" s="154"/>
      <c r="S364" s="154"/>
    </row>
    <row r="365">
      <c r="A365" s="154"/>
      <c r="B365" s="154"/>
      <c r="C365" s="155"/>
      <c r="D365" s="156"/>
      <c r="E365" s="155"/>
      <c r="F365" s="155"/>
      <c r="G365" s="155"/>
      <c r="H365" s="157"/>
      <c r="I365" s="154"/>
      <c r="J365" s="154"/>
      <c r="K365" s="154"/>
      <c r="L365" s="155"/>
      <c r="M365" s="156"/>
      <c r="N365" s="155"/>
      <c r="O365" s="155"/>
      <c r="P365" s="155"/>
      <c r="Q365" s="157"/>
      <c r="R365" s="154"/>
      <c r="S365" s="154"/>
    </row>
    <row r="366">
      <c r="A366" s="154"/>
      <c r="B366" s="154"/>
      <c r="C366" s="155"/>
      <c r="D366" s="156"/>
      <c r="E366" s="155"/>
      <c r="F366" s="155"/>
      <c r="G366" s="155"/>
      <c r="H366" s="157"/>
      <c r="I366" s="154"/>
      <c r="J366" s="154"/>
      <c r="K366" s="154"/>
      <c r="L366" s="155"/>
      <c r="M366" s="156"/>
      <c r="N366" s="155"/>
      <c r="O366" s="155"/>
      <c r="P366" s="155"/>
      <c r="Q366" s="157"/>
      <c r="R366" s="154"/>
      <c r="S366" s="154"/>
    </row>
    <row r="367">
      <c r="A367" s="154"/>
      <c r="B367" s="154"/>
      <c r="C367" s="155"/>
      <c r="D367" s="156"/>
      <c r="E367" s="155"/>
      <c r="F367" s="155"/>
      <c r="G367" s="155"/>
      <c r="H367" s="157"/>
      <c r="I367" s="154"/>
      <c r="J367" s="154"/>
      <c r="K367" s="154"/>
      <c r="L367" s="155"/>
      <c r="M367" s="156"/>
      <c r="N367" s="155"/>
      <c r="O367" s="155"/>
      <c r="P367" s="155"/>
      <c r="Q367" s="157"/>
      <c r="R367" s="154"/>
      <c r="S367" s="154"/>
    </row>
    <row r="368">
      <c r="A368" s="154"/>
      <c r="B368" s="154"/>
      <c r="C368" s="155"/>
      <c r="D368" s="156"/>
      <c r="E368" s="155"/>
      <c r="F368" s="155"/>
      <c r="G368" s="155"/>
      <c r="H368" s="157"/>
      <c r="I368" s="154"/>
      <c r="J368" s="154"/>
      <c r="K368" s="154"/>
      <c r="L368" s="155"/>
      <c r="M368" s="156"/>
      <c r="N368" s="155"/>
      <c r="O368" s="155"/>
      <c r="P368" s="155"/>
      <c r="Q368" s="157"/>
      <c r="R368" s="154"/>
      <c r="S368" s="154"/>
    </row>
    <row r="369">
      <c r="A369" s="154"/>
      <c r="B369" s="154"/>
      <c r="C369" s="155"/>
      <c r="D369" s="156"/>
      <c r="E369" s="155"/>
      <c r="F369" s="155"/>
      <c r="G369" s="155"/>
      <c r="H369" s="157"/>
      <c r="I369" s="154"/>
      <c r="J369" s="154"/>
      <c r="K369" s="154"/>
      <c r="L369" s="155"/>
      <c r="M369" s="156"/>
      <c r="N369" s="155"/>
      <c r="O369" s="155"/>
      <c r="P369" s="155"/>
      <c r="Q369" s="157"/>
      <c r="R369" s="154"/>
      <c r="S369" s="154"/>
    </row>
    <row r="370">
      <c r="A370" s="154"/>
      <c r="B370" s="154"/>
      <c r="C370" s="155"/>
      <c r="D370" s="156"/>
      <c r="E370" s="155"/>
      <c r="F370" s="155"/>
      <c r="G370" s="155"/>
      <c r="H370" s="157"/>
      <c r="I370" s="154"/>
      <c r="J370" s="154"/>
      <c r="K370" s="154"/>
      <c r="L370" s="155"/>
      <c r="M370" s="156"/>
      <c r="N370" s="155"/>
      <c r="O370" s="155"/>
      <c r="P370" s="155"/>
      <c r="Q370" s="157"/>
      <c r="R370" s="154"/>
      <c r="S370" s="154"/>
    </row>
    <row r="371">
      <c r="A371" s="154"/>
      <c r="B371" s="154"/>
      <c r="C371" s="155"/>
      <c r="D371" s="156"/>
      <c r="E371" s="155"/>
      <c r="F371" s="155"/>
      <c r="G371" s="155"/>
      <c r="H371" s="157"/>
      <c r="I371" s="154"/>
      <c r="J371" s="154"/>
      <c r="K371" s="154"/>
      <c r="L371" s="155"/>
      <c r="M371" s="156"/>
      <c r="N371" s="155"/>
      <c r="O371" s="155"/>
      <c r="P371" s="155"/>
      <c r="Q371" s="157"/>
      <c r="R371" s="154"/>
      <c r="S371" s="154"/>
    </row>
    <row r="372">
      <c r="A372" s="154"/>
      <c r="B372" s="154"/>
      <c r="C372" s="155"/>
      <c r="D372" s="156"/>
      <c r="E372" s="155"/>
      <c r="F372" s="155"/>
      <c r="G372" s="155"/>
      <c r="H372" s="157"/>
      <c r="I372" s="154"/>
      <c r="J372" s="154"/>
      <c r="K372" s="154"/>
      <c r="L372" s="155"/>
      <c r="M372" s="156"/>
      <c r="N372" s="155"/>
      <c r="O372" s="155"/>
      <c r="P372" s="155"/>
      <c r="Q372" s="157"/>
      <c r="R372" s="154"/>
      <c r="S372" s="154"/>
    </row>
    <row r="373">
      <c r="A373" s="154"/>
      <c r="B373" s="154"/>
      <c r="C373" s="155"/>
      <c r="D373" s="156"/>
      <c r="E373" s="155"/>
      <c r="F373" s="155"/>
      <c r="G373" s="155"/>
      <c r="H373" s="157"/>
      <c r="I373" s="154"/>
      <c r="J373" s="154"/>
      <c r="K373" s="154"/>
      <c r="L373" s="155"/>
      <c r="M373" s="156"/>
      <c r="N373" s="155"/>
      <c r="O373" s="155"/>
      <c r="P373" s="155"/>
      <c r="Q373" s="157"/>
      <c r="R373" s="154"/>
      <c r="S373" s="154"/>
    </row>
    <row r="374">
      <c r="A374" s="154"/>
      <c r="B374" s="154"/>
      <c r="C374" s="155"/>
      <c r="D374" s="156"/>
      <c r="E374" s="155"/>
      <c r="F374" s="155"/>
      <c r="G374" s="155"/>
      <c r="H374" s="157"/>
      <c r="I374" s="154"/>
      <c r="J374" s="154"/>
      <c r="K374" s="154"/>
      <c r="L374" s="155"/>
      <c r="M374" s="156"/>
      <c r="N374" s="155"/>
      <c r="O374" s="155"/>
      <c r="P374" s="155"/>
      <c r="Q374" s="157"/>
      <c r="R374" s="154"/>
      <c r="S374" s="154"/>
    </row>
    <row r="375">
      <c r="A375" s="154"/>
      <c r="B375" s="154"/>
      <c r="C375" s="155"/>
      <c r="D375" s="156"/>
      <c r="E375" s="155"/>
      <c r="F375" s="155"/>
      <c r="G375" s="155"/>
      <c r="H375" s="157"/>
      <c r="I375" s="154"/>
      <c r="J375" s="154"/>
      <c r="K375" s="154"/>
      <c r="L375" s="155"/>
      <c r="M375" s="156"/>
      <c r="N375" s="155"/>
      <c r="O375" s="155"/>
      <c r="P375" s="155"/>
      <c r="Q375" s="157"/>
      <c r="R375" s="154"/>
      <c r="S375" s="154"/>
    </row>
    <row r="376">
      <c r="A376" s="154"/>
      <c r="B376" s="154"/>
      <c r="C376" s="155"/>
      <c r="D376" s="156"/>
      <c r="E376" s="155"/>
      <c r="F376" s="155"/>
      <c r="G376" s="155"/>
      <c r="H376" s="157"/>
      <c r="I376" s="154"/>
      <c r="J376" s="154"/>
      <c r="K376" s="154"/>
      <c r="L376" s="155"/>
      <c r="M376" s="156"/>
      <c r="N376" s="155"/>
      <c r="O376" s="155"/>
      <c r="P376" s="155"/>
      <c r="Q376" s="157"/>
      <c r="R376" s="154"/>
      <c r="S376" s="154"/>
    </row>
    <row r="377">
      <c r="A377" s="154"/>
      <c r="B377" s="154"/>
      <c r="C377" s="155"/>
      <c r="D377" s="156"/>
      <c r="E377" s="155"/>
      <c r="F377" s="155"/>
      <c r="G377" s="155"/>
      <c r="H377" s="157"/>
      <c r="I377" s="154"/>
      <c r="J377" s="154"/>
      <c r="K377" s="154"/>
      <c r="L377" s="155"/>
      <c r="M377" s="156"/>
      <c r="N377" s="155"/>
      <c r="O377" s="155"/>
      <c r="P377" s="155"/>
      <c r="Q377" s="157"/>
      <c r="R377" s="154"/>
      <c r="S377" s="154"/>
    </row>
    <row r="378">
      <c r="A378" s="154"/>
      <c r="B378" s="154"/>
      <c r="C378" s="155"/>
      <c r="D378" s="156"/>
      <c r="E378" s="155"/>
      <c r="F378" s="155"/>
      <c r="G378" s="155"/>
      <c r="H378" s="157"/>
      <c r="I378" s="154"/>
      <c r="J378" s="154"/>
      <c r="K378" s="154"/>
      <c r="L378" s="155"/>
      <c r="M378" s="156"/>
      <c r="N378" s="155"/>
      <c r="O378" s="155"/>
      <c r="P378" s="155"/>
      <c r="Q378" s="157"/>
      <c r="R378" s="154"/>
      <c r="S378" s="154"/>
    </row>
    <row r="379">
      <c r="A379" s="154"/>
      <c r="B379" s="154"/>
      <c r="C379" s="155"/>
      <c r="D379" s="156"/>
      <c r="E379" s="155"/>
      <c r="F379" s="155"/>
      <c r="G379" s="155"/>
      <c r="H379" s="157"/>
      <c r="I379" s="154"/>
      <c r="J379" s="154"/>
      <c r="K379" s="154"/>
      <c r="L379" s="155"/>
      <c r="M379" s="156"/>
      <c r="N379" s="155"/>
      <c r="O379" s="155"/>
      <c r="P379" s="155"/>
      <c r="Q379" s="157"/>
      <c r="R379" s="154"/>
      <c r="S379" s="154"/>
    </row>
    <row r="380">
      <c r="A380" s="154"/>
      <c r="B380" s="154"/>
      <c r="C380" s="155"/>
      <c r="D380" s="156"/>
      <c r="E380" s="155"/>
      <c r="F380" s="155"/>
      <c r="G380" s="155"/>
      <c r="H380" s="157"/>
      <c r="I380" s="154"/>
      <c r="J380" s="154"/>
      <c r="K380" s="154"/>
      <c r="L380" s="155"/>
      <c r="M380" s="156"/>
      <c r="N380" s="155"/>
      <c r="O380" s="155"/>
      <c r="P380" s="155"/>
      <c r="Q380" s="157"/>
      <c r="R380" s="154"/>
      <c r="S380" s="154"/>
    </row>
    <row r="381">
      <c r="A381" s="154"/>
      <c r="B381" s="154"/>
      <c r="C381" s="155"/>
      <c r="D381" s="156"/>
      <c r="E381" s="155"/>
      <c r="F381" s="155"/>
      <c r="G381" s="155"/>
      <c r="H381" s="157"/>
      <c r="I381" s="154"/>
      <c r="J381" s="154"/>
      <c r="K381" s="154"/>
      <c r="L381" s="155"/>
      <c r="M381" s="156"/>
      <c r="N381" s="155"/>
      <c r="O381" s="155"/>
      <c r="P381" s="155"/>
      <c r="Q381" s="157"/>
      <c r="R381" s="154"/>
      <c r="S381" s="154"/>
    </row>
    <row r="382">
      <c r="A382" s="154"/>
      <c r="B382" s="154"/>
      <c r="C382" s="155"/>
      <c r="D382" s="156"/>
      <c r="E382" s="155"/>
      <c r="F382" s="155"/>
      <c r="G382" s="155"/>
      <c r="H382" s="157"/>
      <c r="I382" s="154"/>
      <c r="J382" s="154"/>
      <c r="K382" s="154"/>
      <c r="L382" s="155"/>
      <c r="M382" s="156"/>
      <c r="N382" s="155"/>
      <c r="O382" s="155"/>
      <c r="P382" s="155"/>
      <c r="Q382" s="157"/>
      <c r="R382" s="154"/>
      <c r="S382" s="154"/>
    </row>
    <row r="383">
      <c r="A383" s="154"/>
      <c r="B383" s="154"/>
      <c r="C383" s="155"/>
      <c r="D383" s="156"/>
      <c r="E383" s="155"/>
      <c r="F383" s="155"/>
      <c r="G383" s="155"/>
      <c r="H383" s="157"/>
      <c r="I383" s="154"/>
      <c r="J383" s="154"/>
      <c r="K383" s="154"/>
      <c r="L383" s="155"/>
      <c r="M383" s="156"/>
      <c r="N383" s="155"/>
      <c r="O383" s="155"/>
      <c r="P383" s="155"/>
      <c r="Q383" s="157"/>
      <c r="R383" s="154"/>
      <c r="S383" s="154"/>
    </row>
    <row r="384">
      <c r="A384" s="154"/>
      <c r="B384" s="154"/>
      <c r="C384" s="155"/>
      <c r="D384" s="156"/>
      <c r="E384" s="155"/>
      <c r="F384" s="155"/>
      <c r="G384" s="155"/>
      <c r="H384" s="157"/>
      <c r="I384" s="154"/>
      <c r="J384" s="154"/>
      <c r="K384" s="154"/>
      <c r="L384" s="155"/>
      <c r="M384" s="156"/>
      <c r="N384" s="155"/>
      <c r="O384" s="155"/>
      <c r="P384" s="155"/>
      <c r="Q384" s="157"/>
      <c r="R384" s="154"/>
      <c r="S384" s="154"/>
    </row>
    <row r="385">
      <c r="A385" s="154"/>
      <c r="B385" s="154"/>
      <c r="C385" s="155"/>
      <c r="D385" s="156"/>
      <c r="E385" s="155"/>
      <c r="F385" s="155"/>
      <c r="G385" s="155"/>
      <c r="H385" s="157"/>
      <c r="I385" s="154"/>
      <c r="J385" s="154"/>
      <c r="K385" s="154"/>
      <c r="L385" s="155"/>
      <c r="M385" s="156"/>
      <c r="N385" s="155"/>
      <c r="O385" s="155"/>
      <c r="P385" s="155"/>
      <c r="Q385" s="157"/>
      <c r="R385" s="154"/>
      <c r="S385" s="154"/>
    </row>
    <row r="386">
      <c r="A386" s="154"/>
      <c r="B386" s="154"/>
      <c r="C386" s="155"/>
      <c r="D386" s="156"/>
      <c r="E386" s="155"/>
      <c r="F386" s="155"/>
      <c r="G386" s="155"/>
      <c r="H386" s="157"/>
      <c r="I386" s="154"/>
      <c r="J386" s="154"/>
      <c r="K386" s="154"/>
      <c r="L386" s="155"/>
      <c r="M386" s="156"/>
      <c r="N386" s="155"/>
      <c r="O386" s="155"/>
      <c r="P386" s="155"/>
      <c r="Q386" s="157"/>
      <c r="R386" s="154"/>
      <c r="S386" s="154"/>
    </row>
    <row r="387">
      <c r="A387" s="154"/>
      <c r="B387" s="154"/>
      <c r="C387" s="155"/>
      <c r="D387" s="156"/>
      <c r="E387" s="155"/>
      <c r="F387" s="155"/>
      <c r="G387" s="155"/>
      <c r="H387" s="157"/>
      <c r="I387" s="154"/>
      <c r="J387" s="154"/>
      <c r="K387" s="154"/>
      <c r="L387" s="155"/>
      <c r="M387" s="156"/>
      <c r="N387" s="155"/>
      <c r="O387" s="155"/>
      <c r="P387" s="155"/>
      <c r="Q387" s="157"/>
      <c r="R387" s="154"/>
      <c r="S387" s="154"/>
    </row>
    <row r="388">
      <c r="A388" s="154"/>
      <c r="B388" s="154"/>
      <c r="C388" s="155"/>
      <c r="D388" s="156"/>
      <c r="E388" s="155"/>
      <c r="F388" s="155"/>
      <c r="G388" s="155"/>
      <c r="H388" s="157"/>
      <c r="I388" s="154"/>
      <c r="J388" s="154"/>
      <c r="K388" s="154"/>
      <c r="L388" s="155"/>
      <c r="M388" s="156"/>
      <c r="N388" s="155"/>
      <c r="O388" s="155"/>
      <c r="P388" s="155"/>
      <c r="Q388" s="157"/>
      <c r="R388" s="154"/>
      <c r="S388" s="154"/>
    </row>
    <row r="389">
      <c r="A389" s="154"/>
      <c r="B389" s="154"/>
      <c r="C389" s="155"/>
      <c r="D389" s="156"/>
      <c r="E389" s="155"/>
      <c r="F389" s="155"/>
      <c r="G389" s="155"/>
      <c r="H389" s="157"/>
      <c r="I389" s="154"/>
      <c r="J389" s="154"/>
      <c r="K389" s="154"/>
      <c r="L389" s="155"/>
      <c r="M389" s="156"/>
      <c r="N389" s="155"/>
      <c r="O389" s="155"/>
      <c r="P389" s="155"/>
      <c r="Q389" s="157"/>
      <c r="R389" s="154"/>
      <c r="S389" s="154"/>
    </row>
    <row r="390">
      <c r="A390" s="154"/>
      <c r="B390" s="154"/>
      <c r="C390" s="155"/>
      <c r="D390" s="156"/>
      <c r="E390" s="155"/>
      <c r="F390" s="155"/>
      <c r="G390" s="155"/>
      <c r="H390" s="157"/>
      <c r="I390" s="154"/>
      <c r="J390" s="154"/>
      <c r="K390" s="154"/>
      <c r="L390" s="155"/>
      <c r="M390" s="156"/>
      <c r="N390" s="155"/>
      <c r="O390" s="155"/>
      <c r="P390" s="155"/>
      <c r="Q390" s="157"/>
      <c r="R390" s="154"/>
      <c r="S390" s="154"/>
    </row>
    <row r="391">
      <c r="A391" s="154"/>
      <c r="B391" s="154"/>
      <c r="C391" s="155"/>
      <c r="D391" s="156"/>
      <c r="E391" s="155"/>
      <c r="F391" s="155"/>
      <c r="G391" s="155"/>
      <c r="H391" s="157"/>
      <c r="I391" s="154"/>
      <c r="J391" s="154"/>
      <c r="K391" s="154"/>
      <c r="L391" s="155"/>
      <c r="M391" s="156"/>
      <c r="N391" s="155"/>
      <c r="O391" s="155"/>
      <c r="P391" s="155"/>
      <c r="Q391" s="157"/>
      <c r="R391" s="154"/>
      <c r="S391" s="154"/>
    </row>
    <row r="392">
      <c r="A392" s="154"/>
      <c r="B392" s="154"/>
      <c r="C392" s="155"/>
      <c r="D392" s="156"/>
      <c r="E392" s="155"/>
      <c r="F392" s="155"/>
      <c r="G392" s="155"/>
      <c r="H392" s="157"/>
      <c r="I392" s="154"/>
      <c r="J392" s="154"/>
      <c r="K392" s="154"/>
      <c r="L392" s="155"/>
      <c r="M392" s="156"/>
      <c r="N392" s="155"/>
      <c r="O392" s="155"/>
      <c r="P392" s="155"/>
      <c r="Q392" s="157"/>
      <c r="R392" s="154"/>
      <c r="S392" s="154"/>
    </row>
    <row r="393">
      <c r="A393" s="154"/>
      <c r="B393" s="154"/>
      <c r="C393" s="155"/>
      <c r="D393" s="156"/>
      <c r="E393" s="155"/>
      <c r="F393" s="155"/>
      <c r="G393" s="155"/>
      <c r="H393" s="157"/>
      <c r="I393" s="154"/>
      <c r="J393" s="154"/>
      <c r="K393" s="154"/>
      <c r="L393" s="155"/>
      <c r="M393" s="156"/>
      <c r="N393" s="155"/>
      <c r="O393" s="155"/>
      <c r="P393" s="155"/>
      <c r="Q393" s="157"/>
      <c r="R393" s="154"/>
      <c r="S393" s="154"/>
    </row>
    <row r="394">
      <c r="A394" s="154"/>
      <c r="B394" s="154"/>
      <c r="C394" s="155"/>
      <c r="D394" s="156"/>
      <c r="E394" s="155"/>
      <c r="F394" s="155"/>
      <c r="G394" s="155"/>
      <c r="H394" s="157"/>
      <c r="I394" s="154"/>
      <c r="J394" s="154"/>
      <c r="K394" s="154"/>
      <c r="L394" s="155"/>
      <c r="M394" s="156"/>
      <c r="N394" s="155"/>
      <c r="O394" s="155"/>
      <c r="P394" s="155"/>
      <c r="Q394" s="157"/>
      <c r="R394" s="154"/>
      <c r="S394" s="154"/>
    </row>
    <row r="395">
      <c r="A395" s="154"/>
      <c r="B395" s="154"/>
      <c r="C395" s="155"/>
      <c r="D395" s="156"/>
      <c r="E395" s="155"/>
      <c r="F395" s="155"/>
      <c r="G395" s="155"/>
      <c r="H395" s="157"/>
      <c r="I395" s="154"/>
      <c r="J395" s="154"/>
      <c r="K395" s="154"/>
      <c r="L395" s="155"/>
      <c r="M395" s="156"/>
      <c r="N395" s="155"/>
      <c r="O395" s="155"/>
      <c r="P395" s="155"/>
      <c r="Q395" s="157"/>
      <c r="R395" s="154"/>
      <c r="S395" s="154"/>
    </row>
    <row r="396">
      <c r="A396" s="154"/>
      <c r="B396" s="154"/>
      <c r="C396" s="155"/>
      <c r="D396" s="156"/>
      <c r="E396" s="155"/>
      <c r="F396" s="155"/>
      <c r="G396" s="155"/>
      <c r="H396" s="157"/>
      <c r="I396" s="154"/>
      <c r="J396" s="154"/>
      <c r="K396" s="154"/>
      <c r="L396" s="155"/>
      <c r="M396" s="156"/>
      <c r="N396" s="155"/>
      <c r="O396" s="155"/>
      <c r="P396" s="155"/>
      <c r="Q396" s="157"/>
      <c r="R396" s="154"/>
      <c r="S396" s="154"/>
    </row>
    <row r="397">
      <c r="A397" s="154"/>
      <c r="B397" s="154"/>
      <c r="C397" s="155"/>
      <c r="D397" s="156"/>
      <c r="E397" s="155"/>
      <c r="F397" s="155"/>
      <c r="G397" s="155"/>
      <c r="H397" s="157"/>
      <c r="I397" s="154"/>
      <c r="J397" s="154"/>
      <c r="K397" s="154"/>
      <c r="L397" s="155"/>
      <c r="M397" s="156"/>
      <c r="N397" s="155"/>
      <c r="O397" s="155"/>
      <c r="P397" s="155"/>
      <c r="Q397" s="157"/>
      <c r="R397" s="154"/>
      <c r="S397" s="154"/>
    </row>
    <row r="398">
      <c r="A398" s="154"/>
      <c r="B398" s="154"/>
      <c r="C398" s="155"/>
      <c r="D398" s="156"/>
      <c r="E398" s="155"/>
      <c r="F398" s="155"/>
      <c r="G398" s="155"/>
      <c r="H398" s="157"/>
      <c r="I398" s="154"/>
      <c r="J398" s="154"/>
      <c r="K398" s="154"/>
      <c r="L398" s="155"/>
      <c r="M398" s="156"/>
      <c r="N398" s="155"/>
      <c r="O398" s="155"/>
      <c r="P398" s="155"/>
      <c r="Q398" s="157"/>
      <c r="R398" s="154"/>
      <c r="S398" s="154"/>
    </row>
    <row r="399">
      <c r="A399" s="154"/>
      <c r="B399" s="154"/>
      <c r="C399" s="155"/>
      <c r="D399" s="156"/>
      <c r="E399" s="155"/>
      <c r="F399" s="155"/>
      <c r="G399" s="155"/>
      <c r="H399" s="157"/>
      <c r="I399" s="154"/>
      <c r="J399" s="154"/>
      <c r="K399" s="154"/>
      <c r="L399" s="155"/>
      <c r="M399" s="156"/>
      <c r="N399" s="155"/>
      <c r="O399" s="155"/>
      <c r="P399" s="155"/>
      <c r="Q399" s="157"/>
      <c r="R399" s="154"/>
      <c r="S399" s="154"/>
    </row>
    <row r="400">
      <c r="A400" s="154"/>
      <c r="B400" s="154"/>
      <c r="C400" s="155"/>
      <c r="D400" s="156"/>
      <c r="E400" s="155"/>
      <c r="F400" s="155"/>
      <c r="G400" s="155"/>
      <c r="H400" s="157"/>
      <c r="I400" s="154"/>
      <c r="J400" s="154"/>
      <c r="K400" s="154"/>
      <c r="L400" s="155"/>
      <c r="M400" s="156"/>
      <c r="N400" s="155"/>
      <c r="O400" s="155"/>
      <c r="P400" s="155"/>
      <c r="Q400" s="157"/>
      <c r="R400" s="154"/>
      <c r="S400" s="154"/>
    </row>
    <row r="401">
      <c r="A401" s="154"/>
      <c r="B401" s="154"/>
      <c r="C401" s="155"/>
      <c r="D401" s="156"/>
      <c r="E401" s="155"/>
      <c r="F401" s="155"/>
      <c r="G401" s="155"/>
      <c r="H401" s="157"/>
      <c r="I401" s="154"/>
      <c r="J401" s="154"/>
      <c r="K401" s="154"/>
      <c r="L401" s="155"/>
      <c r="M401" s="156"/>
      <c r="N401" s="155"/>
      <c r="O401" s="155"/>
      <c r="P401" s="155"/>
      <c r="Q401" s="157"/>
      <c r="R401" s="154"/>
      <c r="S401" s="154"/>
    </row>
    <row r="402">
      <c r="A402" s="154"/>
      <c r="B402" s="154"/>
      <c r="C402" s="155"/>
      <c r="D402" s="156"/>
      <c r="E402" s="155"/>
      <c r="F402" s="155"/>
      <c r="G402" s="155"/>
      <c r="H402" s="157"/>
      <c r="I402" s="154"/>
      <c r="J402" s="154"/>
      <c r="K402" s="154"/>
      <c r="L402" s="155"/>
      <c r="M402" s="156"/>
      <c r="N402" s="155"/>
      <c r="O402" s="155"/>
      <c r="P402" s="155"/>
      <c r="Q402" s="157"/>
      <c r="R402" s="154"/>
      <c r="S402" s="154"/>
    </row>
    <row r="403">
      <c r="A403" s="154"/>
      <c r="B403" s="154"/>
      <c r="C403" s="155"/>
      <c r="D403" s="156"/>
      <c r="E403" s="155"/>
      <c r="F403" s="155"/>
      <c r="G403" s="155"/>
      <c r="H403" s="157"/>
      <c r="I403" s="154"/>
      <c r="J403" s="154"/>
      <c r="K403" s="154"/>
      <c r="L403" s="155"/>
      <c r="M403" s="156"/>
      <c r="N403" s="155"/>
      <c r="O403" s="155"/>
      <c r="P403" s="155"/>
      <c r="Q403" s="157"/>
      <c r="R403" s="154"/>
      <c r="S403" s="154"/>
    </row>
    <row r="404">
      <c r="A404" s="154"/>
      <c r="B404" s="154"/>
      <c r="C404" s="155"/>
      <c r="D404" s="156"/>
      <c r="E404" s="155"/>
      <c r="F404" s="155"/>
      <c r="G404" s="155"/>
      <c r="H404" s="157"/>
      <c r="I404" s="154"/>
      <c r="J404" s="154"/>
      <c r="K404" s="154"/>
      <c r="L404" s="155"/>
      <c r="M404" s="156"/>
      <c r="N404" s="155"/>
      <c r="O404" s="155"/>
      <c r="P404" s="155"/>
      <c r="Q404" s="157"/>
      <c r="R404" s="154"/>
      <c r="S404" s="154"/>
    </row>
    <row r="405">
      <c r="A405" s="154"/>
      <c r="B405" s="154"/>
      <c r="C405" s="155"/>
      <c r="D405" s="156"/>
      <c r="E405" s="155"/>
      <c r="F405" s="155"/>
      <c r="G405" s="155"/>
      <c r="H405" s="157"/>
      <c r="I405" s="154"/>
      <c r="J405" s="154"/>
      <c r="K405" s="154"/>
      <c r="L405" s="155"/>
      <c r="M405" s="156"/>
      <c r="N405" s="155"/>
      <c r="O405" s="155"/>
      <c r="P405" s="155"/>
      <c r="Q405" s="157"/>
      <c r="R405" s="154"/>
      <c r="S405" s="154"/>
    </row>
    <row r="406">
      <c r="A406" s="154"/>
      <c r="B406" s="154"/>
      <c r="C406" s="155"/>
      <c r="D406" s="156"/>
      <c r="E406" s="155"/>
      <c r="F406" s="155"/>
      <c r="G406" s="155"/>
      <c r="H406" s="157"/>
      <c r="I406" s="154"/>
      <c r="J406" s="154"/>
      <c r="K406" s="154"/>
      <c r="L406" s="155"/>
      <c r="M406" s="156"/>
      <c r="N406" s="155"/>
      <c r="O406" s="155"/>
      <c r="P406" s="155"/>
      <c r="Q406" s="157"/>
      <c r="R406" s="154"/>
      <c r="S406" s="154"/>
    </row>
    <row r="407">
      <c r="A407" s="154"/>
      <c r="B407" s="154"/>
      <c r="C407" s="155"/>
      <c r="D407" s="156"/>
      <c r="E407" s="155"/>
      <c r="F407" s="155"/>
      <c r="G407" s="155"/>
      <c r="H407" s="157"/>
      <c r="I407" s="154"/>
      <c r="J407" s="154"/>
      <c r="K407" s="154"/>
      <c r="L407" s="155"/>
      <c r="M407" s="156"/>
      <c r="N407" s="155"/>
      <c r="O407" s="155"/>
      <c r="P407" s="155"/>
      <c r="Q407" s="157"/>
      <c r="R407" s="154"/>
      <c r="S407" s="154"/>
    </row>
    <row r="408">
      <c r="A408" s="154"/>
      <c r="B408" s="154"/>
      <c r="C408" s="155"/>
      <c r="D408" s="156"/>
      <c r="E408" s="155"/>
      <c r="F408" s="155"/>
      <c r="G408" s="155"/>
      <c r="H408" s="157"/>
      <c r="I408" s="154"/>
      <c r="J408" s="154"/>
      <c r="K408" s="154"/>
      <c r="L408" s="155"/>
      <c r="M408" s="156"/>
      <c r="N408" s="155"/>
      <c r="O408" s="155"/>
      <c r="P408" s="155"/>
      <c r="Q408" s="157"/>
      <c r="R408" s="154"/>
      <c r="S408" s="154"/>
    </row>
    <row r="409">
      <c r="A409" s="154"/>
      <c r="B409" s="154"/>
      <c r="C409" s="155"/>
      <c r="D409" s="156"/>
      <c r="E409" s="155"/>
      <c r="F409" s="155"/>
      <c r="G409" s="155"/>
      <c r="H409" s="157"/>
      <c r="I409" s="154"/>
      <c r="J409" s="154"/>
      <c r="K409" s="154"/>
      <c r="L409" s="155"/>
      <c r="M409" s="156"/>
      <c r="N409" s="155"/>
      <c r="O409" s="155"/>
      <c r="P409" s="155"/>
      <c r="Q409" s="157"/>
      <c r="R409" s="154"/>
      <c r="S409" s="154"/>
    </row>
    <row r="410">
      <c r="A410" s="154"/>
      <c r="B410" s="154"/>
      <c r="C410" s="155"/>
      <c r="D410" s="156"/>
      <c r="E410" s="155"/>
      <c r="F410" s="155"/>
      <c r="G410" s="155"/>
      <c r="H410" s="157"/>
      <c r="I410" s="154"/>
      <c r="J410" s="154"/>
      <c r="K410" s="154"/>
      <c r="L410" s="155"/>
      <c r="M410" s="156"/>
      <c r="N410" s="155"/>
      <c r="O410" s="155"/>
      <c r="P410" s="155"/>
      <c r="Q410" s="157"/>
      <c r="R410" s="154"/>
      <c r="S410" s="154"/>
    </row>
    <row r="411">
      <c r="A411" s="154"/>
      <c r="B411" s="154"/>
      <c r="C411" s="155"/>
      <c r="D411" s="156"/>
      <c r="E411" s="155"/>
      <c r="F411" s="155"/>
      <c r="G411" s="155"/>
      <c r="H411" s="157"/>
      <c r="I411" s="154"/>
      <c r="J411" s="154"/>
      <c r="K411" s="154"/>
      <c r="L411" s="155"/>
      <c r="M411" s="156"/>
      <c r="N411" s="155"/>
      <c r="O411" s="155"/>
      <c r="P411" s="155"/>
      <c r="Q411" s="157"/>
      <c r="R411" s="154"/>
      <c r="S411" s="154"/>
    </row>
    <row r="412">
      <c r="A412" s="154"/>
      <c r="B412" s="154"/>
      <c r="C412" s="155"/>
      <c r="D412" s="156"/>
      <c r="E412" s="155"/>
      <c r="F412" s="155"/>
      <c r="G412" s="155"/>
      <c r="H412" s="157"/>
      <c r="I412" s="154"/>
      <c r="J412" s="154"/>
      <c r="K412" s="154"/>
      <c r="L412" s="155"/>
      <c r="M412" s="156"/>
      <c r="N412" s="155"/>
      <c r="O412" s="155"/>
      <c r="P412" s="155"/>
      <c r="Q412" s="157"/>
      <c r="R412" s="154"/>
      <c r="S412" s="154"/>
    </row>
    <row r="413">
      <c r="A413" s="154"/>
      <c r="B413" s="154"/>
      <c r="C413" s="155"/>
      <c r="D413" s="156"/>
      <c r="E413" s="155"/>
      <c r="F413" s="155"/>
      <c r="G413" s="155"/>
      <c r="H413" s="157"/>
      <c r="I413" s="154"/>
      <c r="J413" s="154"/>
      <c r="K413" s="154"/>
      <c r="L413" s="155"/>
      <c r="M413" s="156"/>
      <c r="N413" s="155"/>
      <c r="O413" s="155"/>
      <c r="P413" s="155"/>
      <c r="Q413" s="157"/>
      <c r="R413" s="154"/>
      <c r="S413" s="154"/>
    </row>
    <row r="414">
      <c r="A414" s="154"/>
      <c r="B414" s="154"/>
      <c r="C414" s="155"/>
      <c r="D414" s="156"/>
      <c r="E414" s="155"/>
      <c r="F414" s="155"/>
      <c r="G414" s="155"/>
      <c r="H414" s="157"/>
      <c r="I414" s="154"/>
      <c r="J414" s="154"/>
      <c r="K414" s="154"/>
      <c r="L414" s="155"/>
      <c r="M414" s="156"/>
      <c r="N414" s="155"/>
      <c r="O414" s="155"/>
      <c r="P414" s="155"/>
      <c r="Q414" s="157"/>
      <c r="R414" s="154"/>
      <c r="S414" s="154"/>
    </row>
    <row r="415">
      <c r="A415" s="154"/>
      <c r="B415" s="154"/>
      <c r="C415" s="155"/>
      <c r="D415" s="156"/>
      <c r="E415" s="155"/>
      <c r="F415" s="155"/>
      <c r="G415" s="155"/>
      <c r="H415" s="157"/>
      <c r="I415" s="154"/>
      <c r="J415" s="154"/>
      <c r="K415" s="154"/>
      <c r="L415" s="155"/>
      <c r="M415" s="156"/>
      <c r="N415" s="155"/>
      <c r="O415" s="155"/>
      <c r="P415" s="155"/>
      <c r="Q415" s="157"/>
      <c r="R415" s="154"/>
      <c r="S415" s="154"/>
    </row>
    <row r="416">
      <c r="A416" s="154"/>
      <c r="B416" s="154"/>
      <c r="C416" s="155"/>
      <c r="D416" s="156"/>
      <c r="E416" s="155"/>
      <c r="F416" s="155"/>
      <c r="G416" s="155"/>
      <c r="H416" s="157"/>
      <c r="I416" s="154"/>
      <c r="J416" s="154"/>
      <c r="K416" s="154"/>
      <c r="L416" s="155"/>
      <c r="M416" s="156"/>
      <c r="N416" s="155"/>
      <c r="O416" s="155"/>
      <c r="P416" s="155"/>
      <c r="Q416" s="157"/>
      <c r="R416" s="154"/>
      <c r="S416" s="154"/>
    </row>
    <row r="417">
      <c r="A417" s="154"/>
      <c r="B417" s="154"/>
      <c r="C417" s="155"/>
      <c r="D417" s="156"/>
      <c r="E417" s="155"/>
      <c r="F417" s="155"/>
      <c r="G417" s="155"/>
      <c r="H417" s="157"/>
      <c r="I417" s="154"/>
      <c r="J417" s="154"/>
      <c r="K417" s="154"/>
      <c r="L417" s="155"/>
      <c r="M417" s="156"/>
      <c r="N417" s="155"/>
      <c r="O417" s="155"/>
      <c r="P417" s="155"/>
      <c r="Q417" s="157"/>
      <c r="R417" s="154"/>
      <c r="S417" s="154"/>
    </row>
    <row r="418">
      <c r="A418" s="154"/>
      <c r="B418" s="154"/>
      <c r="C418" s="155"/>
      <c r="D418" s="156"/>
      <c r="E418" s="155"/>
      <c r="F418" s="155"/>
      <c r="G418" s="155"/>
      <c r="H418" s="157"/>
      <c r="I418" s="154"/>
      <c r="J418" s="154"/>
      <c r="K418" s="154"/>
      <c r="L418" s="155"/>
      <c r="M418" s="156"/>
      <c r="N418" s="155"/>
      <c r="O418" s="155"/>
      <c r="P418" s="155"/>
      <c r="Q418" s="157"/>
      <c r="R418" s="154"/>
      <c r="S418" s="154"/>
    </row>
    <row r="419">
      <c r="A419" s="154"/>
      <c r="B419" s="154"/>
      <c r="C419" s="155"/>
      <c r="D419" s="156"/>
      <c r="E419" s="155"/>
      <c r="F419" s="155"/>
      <c r="G419" s="155"/>
      <c r="H419" s="157"/>
      <c r="I419" s="154"/>
      <c r="J419" s="154"/>
      <c r="K419" s="154"/>
      <c r="L419" s="155"/>
      <c r="M419" s="156"/>
      <c r="N419" s="155"/>
      <c r="O419" s="155"/>
      <c r="P419" s="155"/>
      <c r="Q419" s="157"/>
      <c r="R419" s="154"/>
      <c r="S419" s="154"/>
    </row>
    <row r="420">
      <c r="A420" s="154"/>
      <c r="B420" s="154"/>
      <c r="C420" s="155"/>
      <c r="D420" s="156"/>
      <c r="E420" s="155"/>
      <c r="F420" s="155"/>
      <c r="G420" s="155"/>
      <c r="H420" s="157"/>
      <c r="I420" s="154"/>
      <c r="J420" s="154"/>
      <c r="K420" s="154"/>
      <c r="L420" s="155"/>
      <c r="M420" s="156"/>
      <c r="N420" s="155"/>
      <c r="O420" s="155"/>
      <c r="P420" s="155"/>
      <c r="Q420" s="157"/>
      <c r="R420" s="154"/>
      <c r="S420" s="154"/>
    </row>
    <row r="421">
      <c r="A421" s="154"/>
      <c r="B421" s="154"/>
      <c r="C421" s="155"/>
      <c r="D421" s="156"/>
      <c r="E421" s="155"/>
      <c r="F421" s="155"/>
      <c r="G421" s="155"/>
      <c r="H421" s="157"/>
      <c r="I421" s="154"/>
      <c r="J421" s="154"/>
      <c r="K421" s="154"/>
      <c r="L421" s="155"/>
      <c r="M421" s="156"/>
      <c r="N421" s="155"/>
      <c r="O421" s="155"/>
      <c r="P421" s="155"/>
      <c r="Q421" s="157"/>
      <c r="R421" s="154"/>
      <c r="S421" s="154"/>
    </row>
    <row r="422">
      <c r="A422" s="154"/>
      <c r="B422" s="154"/>
      <c r="C422" s="155"/>
      <c r="D422" s="156"/>
      <c r="E422" s="155"/>
      <c r="F422" s="155"/>
      <c r="G422" s="155"/>
      <c r="H422" s="157"/>
      <c r="I422" s="154"/>
      <c r="J422" s="154"/>
      <c r="K422" s="154"/>
      <c r="L422" s="155"/>
      <c r="M422" s="156"/>
      <c r="N422" s="155"/>
      <c r="O422" s="155"/>
      <c r="P422" s="155"/>
      <c r="Q422" s="157"/>
      <c r="R422" s="154"/>
      <c r="S422" s="154"/>
    </row>
    <row r="423">
      <c r="A423" s="154"/>
      <c r="B423" s="154"/>
      <c r="C423" s="155"/>
      <c r="D423" s="156"/>
      <c r="E423" s="155"/>
      <c r="F423" s="155"/>
      <c r="G423" s="155"/>
      <c r="H423" s="157"/>
      <c r="I423" s="154"/>
      <c r="J423" s="154"/>
      <c r="K423" s="154"/>
      <c r="L423" s="155"/>
      <c r="M423" s="156"/>
      <c r="N423" s="155"/>
      <c r="O423" s="155"/>
      <c r="P423" s="155"/>
      <c r="Q423" s="157"/>
      <c r="R423" s="154"/>
      <c r="S423" s="154"/>
    </row>
    <row r="424">
      <c r="A424" s="154"/>
      <c r="B424" s="154"/>
      <c r="C424" s="155"/>
      <c r="D424" s="156"/>
      <c r="E424" s="155"/>
      <c r="F424" s="155"/>
      <c r="G424" s="155"/>
      <c r="H424" s="157"/>
      <c r="I424" s="154"/>
      <c r="J424" s="154"/>
      <c r="K424" s="154"/>
      <c r="L424" s="155"/>
      <c r="M424" s="156"/>
      <c r="N424" s="155"/>
      <c r="O424" s="155"/>
      <c r="P424" s="155"/>
      <c r="Q424" s="157"/>
      <c r="R424" s="154"/>
      <c r="S424" s="154"/>
    </row>
    <row r="425">
      <c r="A425" s="154"/>
      <c r="B425" s="154"/>
      <c r="C425" s="155"/>
      <c r="D425" s="156"/>
      <c r="E425" s="155"/>
      <c r="F425" s="155"/>
      <c r="G425" s="155"/>
      <c r="H425" s="157"/>
      <c r="I425" s="154"/>
      <c r="J425" s="154"/>
      <c r="K425" s="154"/>
      <c r="L425" s="155"/>
      <c r="M425" s="156"/>
      <c r="N425" s="155"/>
      <c r="O425" s="155"/>
      <c r="P425" s="155"/>
      <c r="Q425" s="157"/>
      <c r="R425" s="154"/>
      <c r="S425" s="154"/>
    </row>
    <row r="426">
      <c r="A426" s="154"/>
      <c r="B426" s="154"/>
      <c r="C426" s="155"/>
      <c r="D426" s="156"/>
      <c r="E426" s="155"/>
      <c r="F426" s="155"/>
      <c r="G426" s="155"/>
      <c r="H426" s="157"/>
      <c r="I426" s="154"/>
      <c r="J426" s="154"/>
      <c r="K426" s="154"/>
      <c r="L426" s="155"/>
      <c r="M426" s="156"/>
      <c r="N426" s="155"/>
      <c r="O426" s="155"/>
      <c r="P426" s="155"/>
      <c r="Q426" s="157"/>
      <c r="R426" s="154"/>
      <c r="S426" s="154"/>
    </row>
    <row r="427">
      <c r="A427" s="154"/>
      <c r="B427" s="154"/>
      <c r="C427" s="155"/>
      <c r="D427" s="156"/>
      <c r="E427" s="155"/>
      <c r="F427" s="155"/>
      <c r="G427" s="155"/>
      <c r="H427" s="157"/>
      <c r="I427" s="154"/>
      <c r="J427" s="154"/>
      <c r="K427" s="154"/>
      <c r="L427" s="155"/>
      <c r="M427" s="156"/>
      <c r="N427" s="155"/>
      <c r="O427" s="155"/>
      <c r="P427" s="155"/>
      <c r="Q427" s="157"/>
      <c r="R427" s="154"/>
      <c r="S427" s="154"/>
    </row>
    <row r="428">
      <c r="A428" s="154"/>
      <c r="B428" s="154"/>
      <c r="C428" s="155"/>
      <c r="D428" s="156"/>
      <c r="E428" s="155"/>
      <c r="F428" s="155"/>
      <c r="G428" s="155"/>
      <c r="H428" s="157"/>
      <c r="I428" s="154"/>
      <c r="J428" s="154"/>
      <c r="K428" s="154"/>
      <c r="L428" s="155"/>
      <c r="M428" s="156"/>
      <c r="N428" s="155"/>
      <c r="O428" s="155"/>
      <c r="P428" s="155"/>
      <c r="Q428" s="157"/>
      <c r="R428" s="154"/>
      <c r="S428" s="154"/>
    </row>
    <row r="429">
      <c r="A429" s="154"/>
      <c r="B429" s="154"/>
      <c r="C429" s="155"/>
      <c r="D429" s="156"/>
      <c r="E429" s="155"/>
      <c r="F429" s="155"/>
      <c r="G429" s="155"/>
      <c r="H429" s="157"/>
      <c r="I429" s="154"/>
      <c r="J429" s="154"/>
      <c r="K429" s="154"/>
      <c r="L429" s="155"/>
      <c r="M429" s="156"/>
      <c r="N429" s="155"/>
      <c r="O429" s="155"/>
      <c r="P429" s="155"/>
      <c r="Q429" s="157"/>
      <c r="R429" s="154"/>
      <c r="S429" s="154"/>
    </row>
    <row r="430">
      <c r="A430" s="154"/>
      <c r="B430" s="154"/>
      <c r="C430" s="155"/>
      <c r="D430" s="156"/>
      <c r="E430" s="155"/>
      <c r="F430" s="155"/>
      <c r="G430" s="155"/>
      <c r="H430" s="157"/>
      <c r="I430" s="154"/>
      <c r="J430" s="154"/>
      <c r="K430" s="154"/>
      <c r="L430" s="155"/>
      <c r="M430" s="156"/>
      <c r="N430" s="155"/>
      <c r="O430" s="155"/>
      <c r="P430" s="155"/>
      <c r="Q430" s="157"/>
      <c r="R430" s="154"/>
      <c r="S430" s="154"/>
    </row>
    <row r="431">
      <c r="A431" s="154"/>
      <c r="B431" s="154"/>
      <c r="C431" s="155"/>
      <c r="D431" s="156"/>
      <c r="E431" s="155"/>
      <c r="F431" s="155"/>
      <c r="G431" s="155"/>
      <c r="H431" s="157"/>
      <c r="I431" s="154"/>
      <c r="J431" s="154"/>
      <c r="K431" s="154"/>
      <c r="L431" s="155"/>
      <c r="M431" s="156"/>
      <c r="N431" s="155"/>
      <c r="O431" s="155"/>
      <c r="P431" s="155"/>
      <c r="Q431" s="157"/>
      <c r="R431" s="154"/>
      <c r="S431" s="154"/>
    </row>
    <row r="432">
      <c r="A432" s="154"/>
      <c r="B432" s="154"/>
      <c r="C432" s="155"/>
      <c r="D432" s="156"/>
      <c r="E432" s="155"/>
      <c r="F432" s="155"/>
      <c r="G432" s="155"/>
      <c r="H432" s="157"/>
      <c r="I432" s="154"/>
      <c r="J432" s="154"/>
      <c r="K432" s="154"/>
      <c r="L432" s="155"/>
      <c r="M432" s="156"/>
      <c r="N432" s="155"/>
      <c r="O432" s="155"/>
      <c r="P432" s="155"/>
      <c r="Q432" s="157"/>
      <c r="R432" s="154"/>
      <c r="S432" s="154"/>
    </row>
    <row r="433">
      <c r="A433" s="154"/>
      <c r="B433" s="154"/>
      <c r="C433" s="155"/>
      <c r="D433" s="156"/>
      <c r="E433" s="155"/>
      <c r="F433" s="155"/>
      <c r="G433" s="155"/>
      <c r="H433" s="157"/>
      <c r="I433" s="154"/>
      <c r="J433" s="154"/>
      <c r="K433" s="154"/>
      <c r="L433" s="155"/>
      <c r="M433" s="156"/>
      <c r="N433" s="155"/>
      <c r="O433" s="155"/>
      <c r="P433" s="155"/>
      <c r="Q433" s="157"/>
      <c r="R433" s="154"/>
      <c r="S433" s="154"/>
    </row>
    <row r="434">
      <c r="A434" s="154"/>
      <c r="B434" s="154"/>
      <c r="C434" s="155"/>
      <c r="D434" s="156"/>
      <c r="E434" s="155"/>
      <c r="F434" s="155"/>
      <c r="G434" s="155"/>
      <c r="H434" s="157"/>
      <c r="I434" s="154"/>
      <c r="J434" s="154"/>
      <c r="K434" s="154"/>
      <c r="L434" s="155"/>
      <c r="M434" s="156"/>
      <c r="N434" s="155"/>
      <c r="O434" s="155"/>
      <c r="P434" s="155"/>
      <c r="Q434" s="157"/>
      <c r="R434" s="154"/>
      <c r="S434" s="154"/>
    </row>
    <row r="435">
      <c r="A435" s="154"/>
      <c r="B435" s="154"/>
      <c r="C435" s="155"/>
      <c r="D435" s="156"/>
      <c r="E435" s="155"/>
      <c r="F435" s="155"/>
      <c r="G435" s="155"/>
      <c r="H435" s="157"/>
      <c r="I435" s="154"/>
      <c r="J435" s="154"/>
      <c r="K435" s="154"/>
      <c r="L435" s="155"/>
      <c r="M435" s="156"/>
      <c r="N435" s="155"/>
      <c r="O435" s="155"/>
      <c r="P435" s="155"/>
      <c r="Q435" s="157"/>
      <c r="R435" s="154"/>
      <c r="S435" s="154"/>
    </row>
    <row r="436">
      <c r="A436" s="154"/>
      <c r="B436" s="154"/>
      <c r="C436" s="155"/>
      <c r="D436" s="156"/>
      <c r="E436" s="155"/>
      <c r="F436" s="155"/>
      <c r="G436" s="155"/>
      <c r="H436" s="157"/>
      <c r="I436" s="154"/>
      <c r="J436" s="154"/>
      <c r="K436" s="154"/>
      <c r="L436" s="155"/>
      <c r="M436" s="156"/>
      <c r="N436" s="155"/>
      <c r="O436" s="155"/>
      <c r="P436" s="155"/>
      <c r="Q436" s="157"/>
      <c r="R436" s="154"/>
      <c r="S436" s="154"/>
    </row>
    <row r="437">
      <c r="A437" s="154"/>
      <c r="B437" s="154"/>
      <c r="C437" s="155"/>
      <c r="D437" s="156"/>
      <c r="E437" s="155"/>
      <c r="F437" s="155"/>
      <c r="G437" s="155"/>
      <c r="H437" s="157"/>
      <c r="I437" s="154"/>
      <c r="J437" s="154"/>
      <c r="K437" s="154"/>
      <c r="L437" s="155"/>
      <c r="M437" s="156"/>
      <c r="N437" s="155"/>
      <c r="O437" s="155"/>
      <c r="P437" s="155"/>
      <c r="Q437" s="157"/>
      <c r="R437" s="154"/>
      <c r="S437" s="154"/>
    </row>
    <row r="438">
      <c r="A438" s="154"/>
      <c r="B438" s="154"/>
      <c r="C438" s="155"/>
      <c r="D438" s="156"/>
      <c r="E438" s="155"/>
      <c r="F438" s="155"/>
      <c r="G438" s="155"/>
      <c r="H438" s="157"/>
      <c r="I438" s="154"/>
      <c r="J438" s="154"/>
      <c r="K438" s="154"/>
      <c r="L438" s="155"/>
      <c r="M438" s="156"/>
      <c r="N438" s="155"/>
      <c r="O438" s="155"/>
      <c r="P438" s="155"/>
      <c r="Q438" s="157"/>
      <c r="R438" s="154"/>
      <c r="S438" s="154"/>
    </row>
    <row r="439">
      <c r="A439" s="154"/>
      <c r="B439" s="154"/>
      <c r="C439" s="155"/>
      <c r="D439" s="156"/>
      <c r="E439" s="155"/>
      <c r="F439" s="155"/>
      <c r="G439" s="155"/>
      <c r="H439" s="157"/>
      <c r="I439" s="154"/>
      <c r="J439" s="154"/>
      <c r="K439" s="154"/>
      <c r="L439" s="155"/>
      <c r="M439" s="156"/>
      <c r="N439" s="155"/>
      <c r="O439" s="155"/>
      <c r="P439" s="155"/>
      <c r="Q439" s="157"/>
      <c r="R439" s="154"/>
      <c r="S439" s="154"/>
    </row>
    <row r="440">
      <c r="A440" s="154"/>
      <c r="B440" s="154"/>
      <c r="C440" s="155"/>
      <c r="D440" s="156"/>
      <c r="E440" s="155"/>
      <c r="F440" s="155"/>
      <c r="G440" s="155"/>
      <c r="H440" s="157"/>
      <c r="I440" s="154"/>
      <c r="J440" s="154"/>
      <c r="K440" s="154"/>
      <c r="L440" s="155"/>
      <c r="M440" s="156"/>
      <c r="N440" s="155"/>
      <c r="O440" s="155"/>
      <c r="P440" s="155"/>
      <c r="Q440" s="157"/>
      <c r="R440" s="154"/>
      <c r="S440" s="154"/>
    </row>
    <row r="441">
      <c r="A441" s="154"/>
      <c r="B441" s="154"/>
      <c r="C441" s="155"/>
      <c r="D441" s="156"/>
      <c r="E441" s="155"/>
      <c r="F441" s="155"/>
      <c r="G441" s="155"/>
      <c r="H441" s="157"/>
      <c r="I441" s="154"/>
      <c r="J441" s="154"/>
      <c r="K441" s="154"/>
      <c r="L441" s="155"/>
      <c r="M441" s="156"/>
      <c r="N441" s="155"/>
      <c r="O441" s="155"/>
      <c r="P441" s="155"/>
      <c r="Q441" s="157"/>
      <c r="R441" s="154"/>
      <c r="S441" s="154"/>
    </row>
    <row r="442">
      <c r="A442" s="154"/>
      <c r="B442" s="154"/>
      <c r="C442" s="155"/>
      <c r="D442" s="156"/>
      <c r="E442" s="155"/>
      <c r="F442" s="155"/>
      <c r="G442" s="155"/>
      <c r="H442" s="157"/>
      <c r="I442" s="154"/>
      <c r="J442" s="154"/>
      <c r="K442" s="154"/>
      <c r="L442" s="155"/>
      <c r="M442" s="156"/>
      <c r="N442" s="155"/>
      <c r="O442" s="155"/>
      <c r="P442" s="155"/>
      <c r="Q442" s="157"/>
      <c r="R442" s="154"/>
      <c r="S442" s="154"/>
    </row>
    <row r="443">
      <c r="A443" s="154"/>
      <c r="B443" s="154"/>
      <c r="C443" s="155"/>
      <c r="D443" s="156"/>
      <c r="E443" s="155"/>
      <c r="F443" s="155"/>
      <c r="G443" s="155"/>
      <c r="H443" s="157"/>
      <c r="I443" s="154"/>
      <c r="J443" s="154"/>
      <c r="K443" s="154"/>
      <c r="L443" s="155"/>
      <c r="M443" s="156"/>
      <c r="N443" s="155"/>
      <c r="O443" s="155"/>
      <c r="P443" s="155"/>
      <c r="Q443" s="157"/>
      <c r="R443" s="154"/>
      <c r="S443" s="154"/>
    </row>
    <row r="444">
      <c r="A444" s="154"/>
      <c r="B444" s="154"/>
      <c r="C444" s="155"/>
      <c r="D444" s="156"/>
      <c r="E444" s="155"/>
      <c r="F444" s="155"/>
      <c r="G444" s="155"/>
      <c r="H444" s="157"/>
      <c r="I444" s="154"/>
      <c r="J444" s="154"/>
      <c r="K444" s="154"/>
      <c r="L444" s="155"/>
      <c r="M444" s="156"/>
      <c r="N444" s="155"/>
      <c r="O444" s="155"/>
      <c r="P444" s="155"/>
      <c r="Q444" s="157"/>
      <c r="R444" s="154"/>
      <c r="S444" s="154"/>
    </row>
    <row r="445">
      <c r="A445" s="154"/>
      <c r="B445" s="154"/>
      <c r="C445" s="155"/>
      <c r="D445" s="156"/>
      <c r="E445" s="155"/>
      <c r="F445" s="155"/>
      <c r="G445" s="155"/>
      <c r="H445" s="157"/>
      <c r="I445" s="154"/>
      <c r="J445" s="154"/>
      <c r="K445" s="154"/>
      <c r="L445" s="155"/>
      <c r="M445" s="156"/>
      <c r="N445" s="155"/>
      <c r="O445" s="155"/>
      <c r="P445" s="155"/>
      <c r="Q445" s="157"/>
      <c r="R445" s="154"/>
      <c r="S445" s="154"/>
    </row>
    <row r="446">
      <c r="A446" s="154"/>
      <c r="B446" s="154"/>
      <c r="C446" s="155"/>
      <c r="D446" s="156"/>
      <c r="E446" s="155"/>
      <c r="F446" s="155"/>
      <c r="G446" s="155"/>
      <c r="H446" s="157"/>
      <c r="I446" s="154"/>
      <c r="J446" s="154"/>
      <c r="K446" s="154"/>
      <c r="L446" s="155"/>
      <c r="M446" s="156"/>
      <c r="N446" s="155"/>
      <c r="O446" s="155"/>
      <c r="P446" s="155"/>
      <c r="Q446" s="157"/>
      <c r="R446" s="154"/>
      <c r="S446" s="154"/>
    </row>
    <row r="447">
      <c r="A447" s="154"/>
      <c r="B447" s="154"/>
      <c r="C447" s="155"/>
      <c r="D447" s="156"/>
      <c r="E447" s="155"/>
      <c r="F447" s="155"/>
      <c r="G447" s="155"/>
      <c r="H447" s="157"/>
      <c r="I447" s="154"/>
      <c r="J447" s="154"/>
      <c r="K447" s="154"/>
      <c r="L447" s="155"/>
      <c r="M447" s="156"/>
      <c r="N447" s="155"/>
      <c r="O447" s="155"/>
      <c r="P447" s="155"/>
      <c r="Q447" s="157"/>
      <c r="R447" s="154"/>
      <c r="S447" s="154"/>
    </row>
    <row r="448">
      <c r="A448" s="154"/>
      <c r="B448" s="154"/>
      <c r="C448" s="155"/>
      <c r="D448" s="156"/>
      <c r="E448" s="155"/>
      <c r="F448" s="155"/>
      <c r="G448" s="155"/>
      <c r="H448" s="157"/>
      <c r="I448" s="154"/>
      <c r="J448" s="154"/>
      <c r="K448" s="154"/>
      <c r="L448" s="155"/>
      <c r="M448" s="156"/>
      <c r="N448" s="155"/>
      <c r="O448" s="155"/>
      <c r="P448" s="155"/>
      <c r="Q448" s="157"/>
      <c r="R448" s="154"/>
      <c r="S448" s="154"/>
    </row>
    <row r="449">
      <c r="A449" s="154"/>
      <c r="B449" s="154"/>
      <c r="C449" s="155"/>
      <c r="D449" s="156"/>
      <c r="E449" s="155"/>
      <c r="F449" s="155"/>
      <c r="G449" s="155"/>
      <c r="H449" s="157"/>
      <c r="I449" s="154"/>
      <c r="J449" s="154"/>
      <c r="K449" s="154"/>
      <c r="L449" s="155"/>
      <c r="M449" s="156"/>
      <c r="N449" s="155"/>
      <c r="O449" s="155"/>
      <c r="P449" s="155"/>
      <c r="Q449" s="157"/>
      <c r="R449" s="154"/>
      <c r="S449" s="154"/>
    </row>
    <row r="450">
      <c r="A450" s="154"/>
      <c r="B450" s="154"/>
      <c r="C450" s="155"/>
      <c r="D450" s="156"/>
      <c r="E450" s="155"/>
      <c r="F450" s="155"/>
      <c r="G450" s="155"/>
      <c r="H450" s="157"/>
      <c r="I450" s="154"/>
      <c r="J450" s="154"/>
      <c r="K450" s="154"/>
      <c r="L450" s="155"/>
      <c r="M450" s="156"/>
      <c r="N450" s="155"/>
      <c r="O450" s="155"/>
      <c r="P450" s="155"/>
      <c r="Q450" s="157"/>
      <c r="R450" s="154"/>
      <c r="S450" s="154"/>
    </row>
    <row r="451">
      <c r="A451" s="154"/>
      <c r="B451" s="154"/>
      <c r="C451" s="155"/>
      <c r="D451" s="156"/>
      <c r="E451" s="155"/>
      <c r="F451" s="155"/>
      <c r="G451" s="155"/>
      <c r="H451" s="157"/>
      <c r="I451" s="154"/>
      <c r="J451" s="154"/>
      <c r="K451" s="154"/>
      <c r="L451" s="155"/>
      <c r="M451" s="156"/>
      <c r="N451" s="155"/>
      <c r="O451" s="155"/>
      <c r="P451" s="155"/>
      <c r="Q451" s="157"/>
      <c r="R451" s="154"/>
      <c r="S451" s="154"/>
    </row>
    <row r="452">
      <c r="A452" s="154"/>
      <c r="B452" s="154"/>
      <c r="C452" s="155"/>
      <c r="D452" s="156"/>
      <c r="E452" s="155"/>
      <c r="F452" s="155"/>
      <c r="G452" s="155"/>
      <c r="H452" s="157"/>
      <c r="I452" s="154"/>
      <c r="J452" s="154"/>
      <c r="K452" s="154"/>
      <c r="L452" s="155"/>
      <c r="M452" s="156"/>
      <c r="N452" s="155"/>
      <c r="O452" s="155"/>
      <c r="P452" s="155"/>
      <c r="Q452" s="157"/>
      <c r="R452" s="154"/>
      <c r="S452" s="154"/>
    </row>
    <row r="453">
      <c r="A453" s="154"/>
      <c r="B453" s="154"/>
      <c r="C453" s="155"/>
      <c r="D453" s="156"/>
      <c r="E453" s="155"/>
      <c r="F453" s="155"/>
      <c r="G453" s="155"/>
      <c r="H453" s="157"/>
      <c r="I453" s="154"/>
      <c r="J453" s="154"/>
      <c r="K453" s="154"/>
      <c r="L453" s="155"/>
      <c r="M453" s="156"/>
      <c r="N453" s="155"/>
      <c r="O453" s="155"/>
      <c r="P453" s="155"/>
      <c r="Q453" s="157"/>
      <c r="R453" s="154"/>
      <c r="S453" s="154"/>
    </row>
    <row r="454">
      <c r="A454" s="154"/>
      <c r="B454" s="154"/>
      <c r="C454" s="155"/>
      <c r="D454" s="156"/>
      <c r="E454" s="155"/>
      <c r="F454" s="155"/>
      <c r="G454" s="155"/>
      <c r="H454" s="157"/>
      <c r="I454" s="154"/>
      <c r="J454" s="154"/>
      <c r="K454" s="154"/>
      <c r="L454" s="155"/>
      <c r="M454" s="156"/>
      <c r="N454" s="155"/>
      <c r="O454" s="155"/>
      <c r="P454" s="155"/>
      <c r="Q454" s="157"/>
      <c r="R454" s="154"/>
      <c r="S454" s="154"/>
    </row>
    <row r="455">
      <c r="A455" s="154"/>
      <c r="B455" s="154"/>
      <c r="C455" s="155"/>
      <c r="D455" s="156"/>
      <c r="E455" s="155"/>
      <c r="F455" s="155"/>
      <c r="G455" s="155"/>
      <c r="H455" s="157"/>
      <c r="I455" s="154"/>
      <c r="J455" s="154"/>
      <c r="K455" s="154"/>
      <c r="L455" s="155"/>
      <c r="M455" s="156"/>
      <c r="N455" s="155"/>
      <c r="O455" s="155"/>
      <c r="P455" s="155"/>
      <c r="Q455" s="157"/>
      <c r="R455" s="154"/>
      <c r="S455" s="154"/>
    </row>
    <row r="456">
      <c r="A456" s="154"/>
      <c r="B456" s="154"/>
      <c r="C456" s="155"/>
      <c r="D456" s="156"/>
      <c r="E456" s="155"/>
      <c r="F456" s="155"/>
      <c r="G456" s="155"/>
      <c r="H456" s="157"/>
      <c r="I456" s="154"/>
      <c r="J456" s="154"/>
      <c r="K456" s="154"/>
      <c r="L456" s="155"/>
      <c r="M456" s="156"/>
      <c r="N456" s="155"/>
      <c r="O456" s="155"/>
      <c r="P456" s="155"/>
      <c r="Q456" s="157"/>
      <c r="R456" s="154"/>
      <c r="S456" s="154"/>
    </row>
    <row r="457">
      <c r="A457" s="154"/>
      <c r="B457" s="154"/>
      <c r="C457" s="155"/>
      <c r="D457" s="156"/>
      <c r="E457" s="155"/>
      <c r="F457" s="155"/>
      <c r="G457" s="155"/>
      <c r="H457" s="157"/>
      <c r="I457" s="154"/>
      <c r="J457" s="154"/>
      <c r="K457" s="154"/>
      <c r="L457" s="155"/>
      <c r="M457" s="156"/>
      <c r="N457" s="155"/>
      <c r="O457" s="155"/>
      <c r="P457" s="155"/>
      <c r="Q457" s="157"/>
      <c r="R457" s="154"/>
      <c r="S457" s="154"/>
    </row>
    <row r="458">
      <c r="A458" s="154"/>
      <c r="B458" s="154"/>
      <c r="C458" s="155"/>
      <c r="D458" s="156"/>
      <c r="E458" s="155"/>
      <c r="F458" s="155"/>
      <c r="G458" s="155"/>
      <c r="H458" s="157"/>
      <c r="I458" s="154"/>
      <c r="J458" s="154"/>
      <c r="K458" s="154"/>
      <c r="L458" s="155"/>
      <c r="M458" s="156"/>
      <c r="N458" s="155"/>
      <c r="O458" s="155"/>
      <c r="P458" s="155"/>
      <c r="Q458" s="157"/>
      <c r="R458" s="154"/>
      <c r="S458" s="154"/>
    </row>
    <row r="459">
      <c r="A459" s="154"/>
      <c r="B459" s="154"/>
      <c r="C459" s="155"/>
      <c r="D459" s="156"/>
      <c r="E459" s="155"/>
      <c r="F459" s="155"/>
      <c r="G459" s="155"/>
      <c r="H459" s="157"/>
      <c r="I459" s="154"/>
      <c r="J459" s="154"/>
      <c r="K459" s="154"/>
      <c r="L459" s="155"/>
      <c r="M459" s="156"/>
      <c r="N459" s="155"/>
      <c r="O459" s="155"/>
      <c r="P459" s="155"/>
      <c r="Q459" s="157"/>
      <c r="R459" s="154"/>
      <c r="S459" s="154"/>
    </row>
    <row r="460">
      <c r="A460" s="154"/>
      <c r="B460" s="154"/>
      <c r="C460" s="155"/>
      <c r="D460" s="156"/>
      <c r="E460" s="155"/>
      <c r="F460" s="155"/>
      <c r="G460" s="155"/>
      <c r="H460" s="157"/>
      <c r="I460" s="154"/>
      <c r="J460" s="154"/>
      <c r="K460" s="154"/>
      <c r="L460" s="155"/>
      <c r="M460" s="156"/>
      <c r="N460" s="155"/>
      <c r="O460" s="155"/>
      <c r="P460" s="155"/>
      <c r="Q460" s="157"/>
      <c r="R460" s="154"/>
      <c r="S460" s="154"/>
    </row>
    <row r="461">
      <c r="A461" s="154"/>
      <c r="B461" s="154"/>
      <c r="C461" s="155"/>
      <c r="D461" s="156"/>
      <c r="E461" s="155"/>
      <c r="F461" s="155"/>
      <c r="G461" s="155"/>
      <c r="H461" s="157"/>
      <c r="I461" s="154"/>
      <c r="J461" s="154"/>
      <c r="K461" s="154"/>
      <c r="L461" s="155"/>
      <c r="M461" s="156"/>
      <c r="N461" s="155"/>
      <c r="O461" s="155"/>
      <c r="P461" s="155"/>
      <c r="Q461" s="157"/>
      <c r="R461" s="154"/>
      <c r="S461" s="154"/>
    </row>
    <row r="462">
      <c r="A462" s="154"/>
      <c r="B462" s="154"/>
      <c r="C462" s="155"/>
      <c r="D462" s="156"/>
      <c r="E462" s="155"/>
      <c r="F462" s="155"/>
      <c r="G462" s="155"/>
      <c r="H462" s="157"/>
      <c r="I462" s="154"/>
      <c r="J462" s="154"/>
      <c r="K462" s="154"/>
      <c r="L462" s="155"/>
      <c r="M462" s="156"/>
      <c r="N462" s="155"/>
      <c r="O462" s="155"/>
      <c r="P462" s="155"/>
      <c r="Q462" s="157"/>
      <c r="R462" s="154"/>
      <c r="S462" s="154"/>
    </row>
    <row r="463">
      <c r="A463" s="154"/>
      <c r="B463" s="154"/>
      <c r="C463" s="155"/>
      <c r="D463" s="156"/>
      <c r="E463" s="155"/>
      <c r="F463" s="155"/>
      <c r="G463" s="155"/>
      <c r="H463" s="157"/>
      <c r="I463" s="154"/>
      <c r="J463" s="154"/>
      <c r="K463" s="154"/>
      <c r="L463" s="155"/>
      <c r="M463" s="156"/>
      <c r="N463" s="155"/>
      <c r="O463" s="155"/>
      <c r="P463" s="155"/>
      <c r="Q463" s="157"/>
      <c r="R463" s="154"/>
      <c r="S463" s="154"/>
    </row>
    <row r="464">
      <c r="A464" s="154"/>
      <c r="B464" s="154"/>
      <c r="C464" s="155"/>
      <c r="D464" s="156"/>
      <c r="E464" s="155"/>
      <c r="F464" s="155"/>
      <c r="G464" s="155"/>
      <c r="H464" s="157"/>
      <c r="I464" s="154"/>
      <c r="J464" s="154"/>
      <c r="K464" s="154"/>
      <c r="L464" s="155"/>
      <c r="M464" s="156"/>
      <c r="N464" s="155"/>
      <c r="O464" s="155"/>
      <c r="P464" s="155"/>
      <c r="Q464" s="157"/>
      <c r="R464" s="154"/>
      <c r="S464" s="154"/>
    </row>
    <row r="465">
      <c r="A465" s="154"/>
      <c r="B465" s="154"/>
      <c r="C465" s="155"/>
      <c r="D465" s="156"/>
      <c r="E465" s="155"/>
      <c r="F465" s="155"/>
      <c r="G465" s="155"/>
      <c r="H465" s="157"/>
      <c r="I465" s="154"/>
      <c r="J465" s="154"/>
      <c r="K465" s="154"/>
      <c r="L465" s="155"/>
      <c r="M465" s="156"/>
      <c r="N465" s="155"/>
      <c r="O465" s="155"/>
      <c r="P465" s="155"/>
      <c r="Q465" s="157"/>
      <c r="R465" s="154"/>
      <c r="S465" s="154"/>
    </row>
    <row r="466">
      <c r="A466" s="154"/>
      <c r="B466" s="154"/>
      <c r="C466" s="155"/>
      <c r="D466" s="156"/>
      <c r="E466" s="155"/>
      <c r="F466" s="155"/>
      <c r="G466" s="155"/>
      <c r="H466" s="157"/>
      <c r="I466" s="154"/>
      <c r="J466" s="154"/>
      <c r="K466" s="154"/>
      <c r="L466" s="155"/>
      <c r="M466" s="156"/>
      <c r="N466" s="155"/>
      <c r="O466" s="155"/>
      <c r="P466" s="155"/>
      <c r="Q466" s="157"/>
      <c r="R466" s="154"/>
      <c r="S466" s="154"/>
    </row>
    <row r="467">
      <c r="A467" s="154"/>
      <c r="B467" s="154"/>
      <c r="C467" s="155"/>
      <c r="D467" s="156"/>
      <c r="E467" s="155"/>
      <c r="F467" s="155"/>
      <c r="G467" s="155"/>
      <c r="H467" s="157"/>
      <c r="I467" s="154"/>
      <c r="J467" s="154"/>
      <c r="K467" s="154"/>
      <c r="L467" s="155"/>
      <c r="M467" s="156"/>
      <c r="N467" s="155"/>
      <c r="O467" s="155"/>
      <c r="P467" s="155"/>
      <c r="Q467" s="157"/>
      <c r="R467" s="154"/>
      <c r="S467" s="154"/>
    </row>
    <row r="468">
      <c r="A468" s="154"/>
      <c r="B468" s="154"/>
      <c r="C468" s="155"/>
      <c r="D468" s="156"/>
      <c r="E468" s="155"/>
      <c r="F468" s="155"/>
      <c r="G468" s="155"/>
      <c r="H468" s="157"/>
      <c r="I468" s="154"/>
      <c r="J468" s="154"/>
      <c r="K468" s="154"/>
      <c r="L468" s="155"/>
      <c r="M468" s="156"/>
      <c r="N468" s="155"/>
      <c r="O468" s="155"/>
      <c r="P468" s="155"/>
      <c r="Q468" s="157"/>
      <c r="R468" s="154"/>
      <c r="S468" s="154"/>
    </row>
    <row r="469">
      <c r="A469" s="154"/>
      <c r="B469" s="154"/>
      <c r="C469" s="155"/>
      <c r="D469" s="156"/>
      <c r="E469" s="155"/>
      <c r="F469" s="155"/>
      <c r="G469" s="155"/>
      <c r="H469" s="157"/>
      <c r="I469" s="154"/>
      <c r="J469" s="154"/>
      <c r="K469" s="154"/>
      <c r="L469" s="155"/>
      <c r="M469" s="156"/>
      <c r="N469" s="155"/>
      <c r="O469" s="155"/>
      <c r="P469" s="155"/>
      <c r="Q469" s="157"/>
      <c r="R469" s="154"/>
      <c r="S469" s="154"/>
    </row>
    <row r="470">
      <c r="A470" s="154"/>
      <c r="B470" s="154"/>
      <c r="C470" s="155"/>
      <c r="D470" s="156"/>
      <c r="E470" s="155"/>
      <c r="F470" s="155"/>
      <c r="G470" s="155"/>
      <c r="H470" s="157"/>
      <c r="I470" s="154"/>
      <c r="J470" s="154"/>
      <c r="K470" s="154"/>
      <c r="L470" s="155"/>
      <c r="M470" s="156"/>
      <c r="N470" s="155"/>
      <c r="O470" s="155"/>
      <c r="P470" s="155"/>
      <c r="Q470" s="157"/>
      <c r="R470" s="154"/>
      <c r="S470" s="154"/>
    </row>
    <row r="471">
      <c r="A471" s="154"/>
      <c r="B471" s="154"/>
      <c r="C471" s="155"/>
      <c r="D471" s="156"/>
      <c r="E471" s="155"/>
      <c r="F471" s="155"/>
      <c r="G471" s="155"/>
      <c r="H471" s="157"/>
      <c r="I471" s="154"/>
      <c r="J471" s="154"/>
      <c r="K471" s="154"/>
      <c r="L471" s="155"/>
      <c r="M471" s="156"/>
      <c r="N471" s="155"/>
      <c r="O471" s="155"/>
      <c r="P471" s="155"/>
      <c r="Q471" s="157"/>
      <c r="R471" s="154"/>
      <c r="S471" s="154"/>
    </row>
    <row r="472">
      <c r="A472" s="154"/>
      <c r="B472" s="154"/>
      <c r="C472" s="155"/>
      <c r="D472" s="156"/>
      <c r="E472" s="155"/>
      <c r="F472" s="155"/>
      <c r="G472" s="155"/>
      <c r="H472" s="157"/>
      <c r="I472" s="154"/>
      <c r="J472" s="154"/>
      <c r="K472" s="154"/>
      <c r="L472" s="155"/>
      <c r="M472" s="156"/>
      <c r="N472" s="155"/>
      <c r="O472" s="155"/>
      <c r="P472" s="155"/>
      <c r="Q472" s="157"/>
      <c r="R472" s="154"/>
      <c r="S472" s="154"/>
    </row>
    <row r="473">
      <c r="A473" s="154"/>
      <c r="B473" s="154"/>
      <c r="C473" s="155"/>
      <c r="D473" s="156"/>
      <c r="E473" s="155"/>
      <c r="F473" s="155"/>
      <c r="G473" s="155"/>
      <c r="H473" s="157"/>
      <c r="I473" s="154"/>
      <c r="J473" s="154"/>
      <c r="K473" s="154"/>
      <c r="L473" s="155"/>
      <c r="M473" s="156"/>
      <c r="N473" s="155"/>
      <c r="O473" s="155"/>
      <c r="P473" s="155"/>
      <c r="Q473" s="157"/>
      <c r="R473" s="154"/>
      <c r="S473" s="154"/>
    </row>
    <row r="474">
      <c r="A474" s="154"/>
      <c r="B474" s="154"/>
      <c r="C474" s="155"/>
      <c r="D474" s="156"/>
      <c r="E474" s="155"/>
      <c r="F474" s="155"/>
      <c r="G474" s="155"/>
      <c r="H474" s="157"/>
      <c r="I474" s="154"/>
      <c r="J474" s="154"/>
      <c r="K474" s="154"/>
      <c r="L474" s="155"/>
      <c r="M474" s="156"/>
      <c r="N474" s="155"/>
      <c r="O474" s="155"/>
      <c r="P474" s="155"/>
      <c r="Q474" s="157"/>
      <c r="R474" s="154"/>
      <c r="S474" s="154"/>
    </row>
    <row r="475">
      <c r="A475" s="154"/>
      <c r="B475" s="154"/>
      <c r="C475" s="155"/>
      <c r="D475" s="156"/>
      <c r="E475" s="155"/>
      <c r="F475" s="155"/>
      <c r="G475" s="155"/>
      <c r="H475" s="157"/>
      <c r="I475" s="154"/>
      <c r="J475" s="154"/>
      <c r="K475" s="154"/>
      <c r="L475" s="155"/>
      <c r="M475" s="156"/>
      <c r="N475" s="155"/>
      <c r="O475" s="155"/>
      <c r="P475" s="155"/>
      <c r="Q475" s="157"/>
      <c r="R475" s="154"/>
      <c r="S475" s="154"/>
    </row>
    <row r="476">
      <c r="A476" s="154"/>
      <c r="B476" s="154"/>
      <c r="C476" s="155"/>
      <c r="D476" s="156"/>
      <c r="E476" s="155"/>
      <c r="F476" s="155"/>
      <c r="G476" s="155"/>
      <c r="H476" s="157"/>
      <c r="I476" s="154"/>
      <c r="J476" s="154"/>
      <c r="K476" s="154"/>
      <c r="L476" s="155"/>
      <c r="M476" s="156"/>
      <c r="N476" s="155"/>
      <c r="O476" s="155"/>
      <c r="P476" s="155"/>
      <c r="Q476" s="157"/>
      <c r="R476" s="154"/>
      <c r="S476" s="154"/>
    </row>
    <row r="477">
      <c r="A477" s="154"/>
      <c r="B477" s="154"/>
      <c r="C477" s="155"/>
      <c r="D477" s="156"/>
      <c r="E477" s="155"/>
      <c r="F477" s="155"/>
      <c r="G477" s="155"/>
      <c r="H477" s="157"/>
      <c r="I477" s="154"/>
      <c r="J477" s="154"/>
      <c r="K477" s="154"/>
      <c r="L477" s="155"/>
      <c r="M477" s="156"/>
      <c r="N477" s="155"/>
      <c r="O477" s="155"/>
      <c r="P477" s="155"/>
      <c r="Q477" s="157"/>
      <c r="R477" s="154"/>
      <c r="S477" s="154"/>
    </row>
    <row r="478">
      <c r="A478" s="154"/>
      <c r="B478" s="154"/>
      <c r="C478" s="155"/>
      <c r="D478" s="156"/>
      <c r="E478" s="155"/>
      <c r="F478" s="155"/>
      <c r="G478" s="155"/>
      <c r="H478" s="157"/>
      <c r="I478" s="154"/>
      <c r="J478" s="154"/>
      <c r="K478" s="154"/>
      <c r="L478" s="155"/>
      <c r="M478" s="156"/>
      <c r="N478" s="155"/>
      <c r="O478" s="155"/>
      <c r="P478" s="155"/>
      <c r="Q478" s="157"/>
      <c r="R478" s="154"/>
      <c r="S478" s="154"/>
    </row>
    <row r="479">
      <c r="A479" s="154"/>
      <c r="B479" s="154"/>
      <c r="C479" s="155"/>
      <c r="D479" s="156"/>
      <c r="E479" s="155"/>
      <c r="F479" s="155"/>
      <c r="G479" s="155"/>
      <c r="H479" s="157"/>
      <c r="I479" s="154"/>
      <c r="J479" s="154"/>
      <c r="K479" s="154"/>
      <c r="L479" s="155"/>
      <c r="M479" s="156"/>
      <c r="N479" s="155"/>
      <c r="O479" s="155"/>
      <c r="P479" s="155"/>
      <c r="Q479" s="157"/>
      <c r="R479" s="154"/>
      <c r="S479" s="154"/>
    </row>
    <row r="480">
      <c r="A480" s="154"/>
      <c r="B480" s="154"/>
      <c r="C480" s="155"/>
      <c r="D480" s="156"/>
      <c r="E480" s="155"/>
      <c r="F480" s="155"/>
      <c r="G480" s="155"/>
      <c r="H480" s="157"/>
      <c r="I480" s="154"/>
      <c r="J480" s="154"/>
      <c r="K480" s="154"/>
      <c r="L480" s="155"/>
      <c r="M480" s="156"/>
      <c r="N480" s="155"/>
      <c r="O480" s="155"/>
      <c r="P480" s="155"/>
      <c r="Q480" s="157"/>
      <c r="R480" s="154"/>
      <c r="S480" s="154"/>
    </row>
    <row r="481">
      <c r="A481" s="154"/>
      <c r="B481" s="154"/>
      <c r="C481" s="155"/>
      <c r="D481" s="156"/>
      <c r="E481" s="155"/>
      <c r="F481" s="155"/>
      <c r="G481" s="155"/>
      <c r="H481" s="157"/>
      <c r="I481" s="154"/>
      <c r="J481" s="154"/>
      <c r="K481" s="154"/>
      <c r="L481" s="155"/>
      <c r="M481" s="156"/>
      <c r="N481" s="155"/>
      <c r="O481" s="155"/>
      <c r="P481" s="155"/>
      <c r="Q481" s="157"/>
      <c r="R481" s="154"/>
      <c r="S481" s="154"/>
    </row>
    <row r="482">
      <c r="A482" s="154"/>
      <c r="B482" s="154"/>
      <c r="C482" s="155"/>
      <c r="D482" s="156"/>
      <c r="E482" s="155"/>
      <c r="F482" s="155"/>
      <c r="G482" s="155"/>
      <c r="H482" s="157"/>
      <c r="I482" s="154"/>
      <c r="J482" s="154"/>
      <c r="K482" s="154"/>
      <c r="L482" s="155"/>
      <c r="M482" s="156"/>
      <c r="N482" s="155"/>
      <c r="O482" s="155"/>
      <c r="P482" s="155"/>
      <c r="Q482" s="157"/>
      <c r="R482" s="154"/>
      <c r="S482" s="154"/>
    </row>
    <row r="483">
      <c r="A483" s="154"/>
      <c r="B483" s="154"/>
      <c r="C483" s="155"/>
      <c r="D483" s="156"/>
      <c r="E483" s="155"/>
      <c r="F483" s="155"/>
      <c r="G483" s="155"/>
      <c r="H483" s="157"/>
      <c r="I483" s="154"/>
      <c r="J483" s="154"/>
      <c r="K483" s="154"/>
      <c r="L483" s="155"/>
      <c r="M483" s="156"/>
      <c r="N483" s="155"/>
      <c r="O483" s="155"/>
      <c r="P483" s="155"/>
      <c r="Q483" s="157"/>
      <c r="R483" s="154"/>
      <c r="S483" s="154"/>
    </row>
    <row r="484">
      <c r="A484" s="154"/>
      <c r="B484" s="154"/>
      <c r="C484" s="155"/>
      <c r="D484" s="156"/>
      <c r="E484" s="155"/>
      <c r="F484" s="155"/>
      <c r="G484" s="155"/>
      <c r="H484" s="157"/>
      <c r="I484" s="154"/>
      <c r="J484" s="154"/>
      <c r="K484" s="154"/>
      <c r="L484" s="155"/>
      <c r="M484" s="156"/>
      <c r="N484" s="155"/>
      <c r="O484" s="155"/>
      <c r="P484" s="155"/>
      <c r="Q484" s="157"/>
      <c r="R484" s="154"/>
      <c r="S484" s="154"/>
    </row>
    <row r="485">
      <c r="A485" s="154"/>
      <c r="B485" s="154"/>
      <c r="C485" s="155"/>
      <c r="D485" s="156"/>
      <c r="E485" s="155"/>
      <c r="F485" s="155"/>
      <c r="G485" s="155"/>
      <c r="H485" s="157"/>
      <c r="I485" s="154"/>
      <c r="J485" s="154"/>
      <c r="K485" s="154"/>
      <c r="L485" s="155"/>
      <c r="M485" s="156"/>
      <c r="N485" s="155"/>
      <c r="O485" s="155"/>
      <c r="P485" s="155"/>
      <c r="Q485" s="157"/>
      <c r="R485" s="154"/>
      <c r="S485" s="154"/>
    </row>
    <row r="486">
      <c r="A486" s="154"/>
      <c r="B486" s="154"/>
      <c r="C486" s="155"/>
      <c r="D486" s="156"/>
      <c r="E486" s="155"/>
      <c r="F486" s="155"/>
      <c r="G486" s="155"/>
      <c r="H486" s="157"/>
      <c r="I486" s="154"/>
      <c r="J486" s="154"/>
      <c r="K486" s="154"/>
      <c r="L486" s="155"/>
      <c r="M486" s="156"/>
      <c r="N486" s="155"/>
      <c r="O486" s="155"/>
      <c r="P486" s="155"/>
      <c r="Q486" s="157"/>
      <c r="R486" s="154"/>
      <c r="S486" s="154"/>
    </row>
    <row r="487">
      <c r="A487" s="154"/>
      <c r="B487" s="154"/>
      <c r="C487" s="155"/>
      <c r="D487" s="156"/>
      <c r="E487" s="155"/>
      <c r="F487" s="155"/>
      <c r="G487" s="155"/>
      <c r="H487" s="157"/>
      <c r="I487" s="154"/>
      <c r="J487" s="154"/>
      <c r="K487" s="154"/>
      <c r="L487" s="155"/>
      <c r="M487" s="156"/>
      <c r="N487" s="155"/>
      <c r="O487" s="155"/>
      <c r="P487" s="155"/>
      <c r="Q487" s="157"/>
      <c r="R487" s="154"/>
      <c r="S487" s="154"/>
    </row>
    <row r="488">
      <c r="A488" s="154"/>
      <c r="B488" s="154"/>
      <c r="C488" s="155"/>
      <c r="D488" s="156"/>
      <c r="E488" s="155"/>
      <c r="F488" s="155"/>
      <c r="G488" s="155"/>
      <c r="H488" s="157"/>
      <c r="I488" s="154"/>
      <c r="J488" s="154"/>
      <c r="K488" s="154"/>
      <c r="L488" s="155"/>
      <c r="M488" s="156"/>
      <c r="N488" s="155"/>
      <c r="O488" s="155"/>
      <c r="P488" s="155"/>
      <c r="Q488" s="157"/>
      <c r="R488" s="154"/>
      <c r="S488" s="154"/>
    </row>
    <row r="489">
      <c r="A489" s="154"/>
      <c r="B489" s="154"/>
      <c r="C489" s="155"/>
      <c r="D489" s="156"/>
      <c r="E489" s="155"/>
      <c r="F489" s="155"/>
      <c r="G489" s="155"/>
      <c r="H489" s="157"/>
      <c r="I489" s="154"/>
      <c r="J489" s="154"/>
      <c r="K489" s="154"/>
      <c r="L489" s="155"/>
      <c r="M489" s="156"/>
      <c r="N489" s="155"/>
      <c r="O489" s="155"/>
      <c r="P489" s="155"/>
      <c r="Q489" s="157"/>
      <c r="R489" s="154"/>
      <c r="S489" s="154"/>
    </row>
    <row r="490">
      <c r="A490" s="154"/>
      <c r="B490" s="154"/>
      <c r="C490" s="155"/>
      <c r="D490" s="156"/>
      <c r="E490" s="155"/>
      <c r="F490" s="155"/>
      <c r="G490" s="155"/>
      <c r="H490" s="157"/>
      <c r="I490" s="154"/>
      <c r="J490" s="154"/>
      <c r="K490" s="154"/>
      <c r="L490" s="155"/>
      <c r="M490" s="156"/>
      <c r="N490" s="155"/>
      <c r="O490" s="155"/>
      <c r="P490" s="155"/>
      <c r="Q490" s="157"/>
      <c r="R490" s="154"/>
      <c r="S490" s="154"/>
    </row>
    <row r="491">
      <c r="A491" s="154"/>
      <c r="B491" s="154"/>
      <c r="C491" s="155"/>
      <c r="D491" s="156"/>
      <c r="E491" s="155"/>
      <c r="F491" s="155"/>
      <c r="G491" s="155"/>
      <c r="H491" s="157"/>
      <c r="I491" s="154"/>
      <c r="J491" s="154"/>
      <c r="K491" s="154"/>
      <c r="L491" s="155"/>
      <c r="M491" s="156"/>
      <c r="N491" s="155"/>
      <c r="O491" s="155"/>
      <c r="P491" s="155"/>
      <c r="Q491" s="157"/>
      <c r="R491" s="154"/>
      <c r="S491" s="154"/>
    </row>
    <row r="492">
      <c r="A492" s="154"/>
      <c r="B492" s="154"/>
      <c r="C492" s="155"/>
      <c r="D492" s="156"/>
      <c r="E492" s="155"/>
      <c r="F492" s="155"/>
      <c r="G492" s="155"/>
      <c r="H492" s="157"/>
      <c r="I492" s="154"/>
      <c r="J492" s="154"/>
      <c r="K492" s="154"/>
      <c r="L492" s="155"/>
      <c r="M492" s="156"/>
      <c r="N492" s="155"/>
      <c r="O492" s="155"/>
      <c r="P492" s="155"/>
      <c r="Q492" s="157"/>
      <c r="R492" s="154"/>
      <c r="S492" s="154"/>
    </row>
    <row r="493">
      <c r="A493" s="154"/>
      <c r="B493" s="154"/>
      <c r="C493" s="155"/>
      <c r="D493" s="156"/>
      <c r="E493" s="155"/>
      <c r="F493" s="155"/>
      <c r="G493" s="155"/>
      <c r="H493" s="157"/>
      <c r="I493" s="154"/>
      <c r="J493" s="154"/>
      <c r="K493" s="154"/>
      <c r="L493" s="155"/>
      <c r="M493" s="156"/>
      <c r="N493" s="155"/>
      <c r="O493" s="155"/>
      <c r="P493" s="155"/>
      <c r="Q493" s="157"/>
      <c r="R493" s="154"/>
      <c r="S493" s="154"/>
    </row>
    <row r="494">
      <c r="A494" s="154"/>
      <c r="B494" s="154"/>
      <c r="C494" s="155"/>
      <c r="D494" s="156"/>
      <c r="E494" s="155"/>
      <c r="F494" s="155"/>
      <c r="G494" s="155"/>
      <c r="H494" s="157"/>
      <c r="I494" s="154"/>
      <c r="J494" s="154"/>
      <c r="K494" s="154"/>
      <c r="L494" s="155"/>
      <c r="M494" s="156"/>
      <c r="N494" s="155"/>
      <c r="O494" s="155"/>
      <c r="P494" s="155"/>
      <c r="Q494" s="157"/>
      <c r="R494" s="154"/>
      <c r="S494" s="154"/>
    </row>
    <row r="495">
      <c r="A495" s="154"/>
      <c r="B495" s="154"/>
      <c r="C495" s="155"/>
      <c r="D495" s="156"/>
      <c r="E495" s="155"/>
      <c r="F495" s="155"/>
      <c r="G495" s="155"/>
      <c r="H495" s="157"/>
      <c r="I495" s="154"/>
      <c r="J495" s="154"/>
      <c r="K495" s="154"/>
      <c r="L495" s="155"/>
      <c r="M495" s="156"/>
      <c r="N495" s="155"/>
      <c r="O495" s="155"/>
      <c r="P495" s="155"/>
      <c r="Q495" s="157"/>
      <c r="R495" s="154"/>
      <c r="S495" s="154"/>
    </row>
    <row r="496">
      <c r="A496" s="154"/>
      <c r="B496" s="154"/>
      <c r="C496" s="155"/>
      <c r="D496" s="156"/>
      <c r="E496" s="155"/>
      <c r="F496" s="155"/>
      <c r="G496" s="155"/>
      <c r="H496" s="157"/>
      <c r="I496" s="154"/>
      <c r="J496" s="154"/>
      <c r="K496" s="154"/>
      <c r="L496" s="155"/>
      <c r="M496" s="156"/>
      <c r="N496" s="155"/>
      <c r="O496" s="155"/>
      <c r="P496" s="155"/>
      <c r="Q496" s="157"/>
      <c r="R496" s="154"/>
      <c r="S496" s="154"/>
    </row>
    <row r="497">
      <c r="A497" s="154"/>
      <c r="B497" s="154"/>
      <c r="C497" s="155"/>
      <c r="D497" s="156"/>
      <c r="E497" s="155"/>
      <c r="F497" s="155"/>
      <c r="G497" s="155"/>
      <c r="H497" s="157"/>
      <c r="I497" s="154"/>
      <c r="J497" s="154"/>
      <c r="K497" s="154"/>
      <c r="L497" s="155"/>
      <c r="M497" s="156"/>
      <c r="N497" s="155"/>
      <c r="O497" s="155"/>
      <c r="P497" s="155"/>
      <c r="Q497" s="157"/>
      <c r="R497" s="154"/>
      <c r="S497" s="154"/>
    </row>
    <row r="498">
      <c r="A498" s="154"/>
      <c r="B498" s="154"/>
      <c r="C498" s="155"/>
      <c r="D498" s="156"/>
      <c r="E498" s="155"/>
      <c r="F498" s="155"/>
      <c r="G498" s="155"/>
      <c r="H498" s="157"/>
      <c r="I498" s="154"/>
      <c r="J498" s="154"/>
      <c r="K498" s="154"/>
      <c r="L498" s="155"/>
      <c r="M498" s="156"/>
      <c r="N498" s="155"/>
      <c r="O498" s="155"/>
      <c r="P498" s="155"/>
      <c r="Q498" s="157"/>
      <c r="R498" s="154"/>
      <c r="S498" s="154"/>
    </row>
    <row r="499">
      <c r="A499" s="154"/>
      <c r="B499" s="154"/>
      <c r="C499" s="155"/>
      <c r="D499" s="156"/>
      <c r="E499" s="155"/>
      <c r="F499" s="155"/>
      <c r="G499" s="155"/>
      <c r="H499" s="157"/>
      <c r="I499" s="154"/>
      <c r="J499" s="154"/>
      <c r="K499" s="154"/>
      <c r="L499" s="155"/>
      <c r="M499" s="156"/>
      <c r="N499" s="155"/>
      <c r="O499" s="155"/>
      <c r="P499" s="155"/>
      <c r="Q499" s="157"/>
      <c r="R499" s="154"/>
      <c r="S499" s="154"/>
    </row>
    <row r="500">
      <c r="A500" s="154"/>
      <c r="B500" s="154"/>
      <c r="C500" s="155"/>
      <c r="D500" s="156"/>
      <c r="E500" s="155"/>
      <c r="F500" s="155"/>
      <c r="G500" s="155"/>
      <c r="H500" s="157"/>
      <c r="I500" s="154"/>
      <c r="J500" s="154"/>
      <c r="K500" s="154"/>
      <c r="L500" s="155"/>
      <c r="M500" s="156"/>
      <c r="N500" s="155"/>
      <c r="O500" s="155"/>
      <c r="P500" s="155"/>
      <c r="Q500" s="157"/>
      <c r="R500" s="154"/>
      <c r="S500" s="154"/>
    </row>
    <row r="501">
      <c r="A501" s="154"/>
      <c r="B501" s="154"/>
      <c r="C501" s="155"/>
      <c r="D501" s="156"/>
      <c r="E501" s="155"/>
      <c r="F501" s="155"/>
      <c r="G501" s="155"/>
      <c r="H501" s="157"/>
      <c r="I501" s="154"/>
      <c r="J501" s="154"/>
      <c r="K501" s="154"/>
      <c r="L501" s="155"/>
      <c r="M501" s="156"/>
      <c r="N501" s="155"/>
      <c r="O501" s="155"/>
      <c r="P501" s="155"/>
      <c r="Q501" s="157"/>
      <c r="R501" s="154"/>
      <c r="S501" s="154"/>
    </row>
    <row r="502">
      <c r="A502" s="154"/>
      <c r="B502" s="154"/>
      <c r="C502" s="155"/>
      <c r="D502" s="156"/>
      <c r="E502" s="155"/>
      <c r="F502" s="155"/>
      <c r="G502" s="155"/>
      <c r="H502" s="157"/>
      <c r="I502" s="154"/>
      <c r="J502" s="154"/>
      <c r="K502" s="154"/>
      <c r="L502" s="155"/>
      <c r="M502" s="156"/>
      <c r="N502" s="155"/>
      <c r="O502" s="155"/>
      <c r="P502" s="155"/>
      <c r="Q502" s="157"/>
      <c r="R502" s="154"/>
      <c r="S502" s="154"/>
    </row>
    <row r="503">
      <c r="A503" s="154"/>
      <c r="B503" s="154"/>
      <c r="C503" s="155"/>
      <c r="D503" s="156"/>
      <c r="E503" s="155"/>
      <c r="F503" s="155"/>
      <c r="G503" s="155"/>
      <c r="H503" s="157"/>
      <c r="I503" s="154"/>
      <c r="J503" s="154"/>
      <c r="K503" s="154"/>
      <c r="L503" s="155"/>
      <c r="M503" s="156"/>
      <c r="N503" s="155"/>
      <c r="O503" s="155"/>
      <c r="P503" s="155"/>
      <c r="Q503" s="157"/>
      <c r="R503" s="154"/>
      <c r="S503" s="154"/>
    </row>
    <row r="504">
      <c r="A504" s="154"/>
      <c r="B504" s="154"/>
      <c r="C504" s="155"/>
      <c r="D504" s="156"/>
      <c r="E504" s="155"/>
      <c r="F504" s="155"/>
      <c r="G504" s="155"/>
      <c r="H504" s="157"/>
      <c r="I504" s="154"/>
      <c r="J504" s="154"/>
      <c r="K504" s="154"/>
      <c r="L504" s="155"/>
      <c r="M504" s="156"/>
      <c r="N504" s="155"/>
      <c r="O504" s="155"/>
      <c r="P504" s="155"/>
      <c r="Q504" s="157"/>
      <c r="R504" s="154"/>
      <c r="S504" s="154"/>
    </row>
    <row r="505">
      <c r="A505" s="154"/>
      <c r="B505" s="154"/>
      <c r="C505" s="155"/>
      <c r="D505" s="156"/>
      <c r="E505" s="155"/>
      <c r="F505" s="155"/>
      <c r="G505" s="155"/>
      <c r="H505" s="157"/>
      <c r="I505" s="154"/>
      <c r="J505" s="154"/>
      <c r="K505" s="154"/>
      <c r="L505" s="155"/>
      <c r="M505" s="156"/>
      <c r="N505" s="155"/>
      <c r="O505" s="155"/>
      <c r="P505" s="155"/>
      <c r="Q505" s="157"/>
      <c r="R505" s="154"/>
      <c r="S505" s="154"/>
    </row>
    <row r="506">
      <c r="A506" s="154"/>
      <c r="B506" s="154"/>
      <c r="C506" s="155"/>
      <c r="D506" s="156"/>
      <c r="E506" s="155"/>
      <c r="F506" s="155"/>
      <c r="G506" s="155"/>
      <c r="H506" s="157"/>
      <c r="I506" s="154"/>
      <c r="J506" s="154"/>
      <c r="K506" s="154"/>
      <c r="L506" s="155"/>
      <c r="M506" s="156"/>
      <c r="N506" s="155"/>
      <c r="O506" s="155"/>
      <c r="P506" s="155"/>
      <c r="Q506" s="157"/>
      <c r="R506" s="154"/>
      <c r="S506" s="154"/>
    </row>
    <row r="507">
      <c r="A507" s="154"/>
      <c r="B507" s="154"/>
      <c r="C507" s="155"/>
      <c r="D507" s="156"/>
      <c r="E507" s="155"/>
      <c r="F507" s="155"/>
      <c r="G507" s="155"/>
      <c r="H507" s="157"/>
      <c r="I507" s="154"/>
      <c r="J507" s="154"/>
      <c r="K507" s="154"/>
      <c r="L507" s="155"/>
      <c r="M507" s="156"/>
      <c r="N507" s="155"/>
      <c r="O507" s="155"/>
      <c r="P507" s="155"/>
      <c r="Q507" s="157"/>
      <c r="R507" s="154"/>
      <c r="S507" s="154"/>
    </row>
    <row r="508">
      <c r="A508" s="154"/>
      <c r="B508" s="154"/>
      <c r="C508" s="155"/>
      <c r="D508" s="156"/>
      <c r="E508" s="155"/>
      <c r="F508" s="155"/>
      <c r="G508" s="155"/>
      <c r="H508" s="157"/>
      <c r="I508" s="154"/>
      <c r="J508" s="154"/>
      <c r="K508" s="154"/>
      <c r="L508" s="155"/>
      <c r="M508" s="156"/>
      <c r="N508" s="155"/>
      <c r="O508" s="155"/>
      <c r="P508" s="155"/>
      <c r="Q508" s="157"/>
      <c r="R508" s="154"/>
      <c r="S508" s="154"/>
    </row>
    <row r="509">
      <c r="A509" s="154"/>
      <c r="B509" s="154"/>
      <c r="C509" s="155"/>
      <c r="D509" s="156"/>
      <c r="E509" s="155"/>
      <c r="F509" s="155"/>
      <c r="G509" s="155"/>
      <c r="H509" s="157"/>
      <c r="I509" s="154"/>
      <c r="J509" s="154"/>
      <c r="K509" s="154"/>
      <c r="L509" s="155"/>
      <c r="M509" s="156"/>
      <c r="N509" s="155"/>
      <c r="O509" s="155"/>
      <c r="P509" s="155"/>
      <c r="Q509" s="157"/>
      <c r="R509" s="154"/>
      <c r="S509" s="154"/>
    </row>
    <row r="510">
      <c r="A510" s="154"/>
      <c r="B510" s="154"/>
      <c r="C510" s="155"/>
      <c r="D510" s="156"/>
      <c r="E510" s="155"/>
      <c r="F510" s="155"/>
      <c r="G510" s="155"/>
      <c r="H510" s="157"/>
      <c r="I510" s="154"/>
      <c r="J510" s="154"/>
      <c r="K510" s="154"/>
      <c r="L510" s="155"/>
      <c r="M510" s="156"/>
      <c r="N510" s="155"/>
      <c r="O510" s="155"/>
      <c r="P510" s="155"/>
      <c r="Q510" s="157"/>
      <c r="R510" s="154"/>
      <c r="S510" s="154"/>
    </row>
    <row r="511">
      <c r="A511" s="154"/>
      <c r="B511" s="154"/>
      <c r="C511" s="155"/>
      <c r="D511" s="156"/>
      <c r="E511" s="155"/>
      <c r="F511" s="155"/>
      <c r="G511" s="155"/>
      <c r="H511" s="157"/>
      <c r="I511" s="154"/>
      <c r="J511" s="154"/>
      <c r="K511" s="154"/>
      <c r="L511" s="155"/>
      <c r="M511" s="156"/>
      <c r="N511" s="155"/>
      <c r="O511" s="155"/>
      <c r="P511" s="155"/>
      <c r="Q511" s="157"/>
      <c r="R511" s="154"/>
      <c r="S511" s="154"/>
    </row>
    <row r="512">
      <c r="A512" s="154"/>
      <c r="B512" s="154"/>
      <c r="C512" s="155"/>
      <c r="D512" s="156"/>
      <c r="E512" s="155"/>
      <c r="F512" s="155"/>
      <c r="G512" s="155"/>
      <c r="H512" s="157"/>
      <c r="I512" s="154"/>
      <c r="J512" s="154"/>
      <c r="K512" s="154"/>
      <c r="L512" s="155"/>
      <c r="M512" s="156"/>
      <c r="N512" s="155"/>
      <c r="O512" s="155"/>
      <c r="P512" s="155"/>
      <c r="Q512" s="157"/>
      <c r="R512" s="154"/>
      <c r="S512" s="154"/>
    </row>
    <row r="513">
      <c r="A513" s="154"/>
      <c r="B513" s="154"/>
      <c r="C513" s="155"/>
      <c r="D513" s="156"/>
      <c r="E513" s="155"/>
      <c r="F513" s="155"/>
      <c r="G513" s="155"/>
      <c r="H513" s="157"/>
      <c r="I513" s="154"/>
      <c r="J513" s="154"/>
      <c r="K513" s="154"/>
      <c r="L513" s="155"/>
      <c r="M513" s="156"/>
      <c r="N513" s="155"/>
      <c r="O513" s="155"/>
      <c r="P513" s="155"/>
      <c r="Q513" s="157"/>
      <c r="R513" s="154"/>
      <c r="S513" s="154"/>
    </row>
    <row r="514">
      <c r="A514" s="154"/>
      <c r="B514" s="154"/>
      <c r="C514" s="155"/>
      <c r="D514" s="156"/>
      <c r="E514" s="155"/>
      <c r="F514" s="155"/>
      <c r="G514" s="155"/>
      <c r="H514" s="157"/>
      <c r="I514" s="154"/>
      <c r="J514" s="154"/>
      <c r="K514" s="154"/>
      <c r="L514" s="155"/>
      <c r="M514" s="156"/>
      <c r="N514" s="155"/>
      <c r="O514" s="155"/>
      <c r="P514" s="155"/>
      <c r="Q514" s="157"/>
      <c r="R514" s="154"/>
      <c r="S514" s="154"/>
    </row>
    <row r="515">
      <c r="A515" s="154"/>
      <c r="B515" s="154"/>
      <c r="C515" s="155"/>
      <c r="D515" s="156"/>
      <c r="E515" s="155"/>
      <c r="F515" s="155"/>
      <c r="G515" s="155"/>
      <c r="H515" s="157"/>
      <c r="I515" s="154"/>
      <c r="J515" s="154"/>
      <c r="K515" s="154"/>
      <c r="L515" s="155"/>
      <c r="M515" s="156"/>
      <c r="N515" s="155"/>
      <c r="O515" s="155"/>
      <c r="P515" s="155"/>
      <c r="Q515" s="157"/>
      <c r="R515" s="154"/>
      <c r="S515" s="154"/>
    </row>
    <row r="516">
      <c r="A516" s="154"/>
      <c r="B516" s="154"/>
      <c r="C516" s="155"/>
      <c r="D516" s="156"/>
      <c r="E516" s="155"/>
      <c r="F516" s="155"/>
      <c r="G516" s="155"/>
      <c r="H516" s="157"/>
      <c r="I516" s="154"/>
      <c r="J516" s="154"/>
      <c r="K516" s="154"/>
      <c r="L516" s="155"/>
      <c r="M516" s="156"/>
      <c r="N516" s="155"/>
      <c r="O516" s="155"/>
      <c r="P516" s="155"/>
      <c r="Q516" s="157"/>
      <c r="R516" s="154"/>
      <c r="S516" s="154"/>
    </row>
    <row r="517">
      <c r="A517" s="154"/>
      <c r="B517" s="154"/>
      <c r="C517" s="155"/>
      <c r="D517" s="156"/>
      <c r="E517" s="155"/>
      <c r="F517" s="155"/>
      <c r="G517" s="155"/>
      <c r="H517" s="157"/>
      <c r="I517" s="154"/>
      <c r="J517" s="154"/>
      <c r="K517" s="154"/>
      <c r="L517" s="155"/>
      <c r="M517" s="156"/>
      <c r="N517" s="155"/>
      <c r="O517" s="155"/>
      <c r="P517" s="155"/>
      <c r="Q517" s="157"/>
      <c r="R517" s="154"/>
      <c r="S517" s="154"/>
    </row>
    <row r="518">
      <c r="A518" s="154"/>
      <c r="B518" s="154"/>
      <c r="C518" s="155"/>
      <c r="D518" s="156"/>
      <c r="E518" s="155"/>
      <c r="F518" s="155"/>
      <c r="G518" s="155"/>
      <c r="H518" s="157"/>
      <c r="I518" s="154"/>
      <c r="J518" s="154"/>
      <c r="K518" s="154"/>
      <c r="L518" s="155"/>
      <c r="M518" s="156"/>
      <c r="N518" s="155"/>
      <c r="O518" s="155"/>
      <c r="P518" s="155"/>
      <c r="Q518" s="157"/>
      <c r="R518" s="154"/>
      <c r="S518" s="154"/>
    </row>
    <row r="519">
      <c r="A519" s="154"/>
      <c r="B519" s="154"/>
      <c r="C519" s="155"/>
      <c r="D519" s="156"/>
      <c r="E519" s="155"/>
      <c r="F519" s="155"/>
      <c r="G519" s="155"/>
      <c r="H519" s="157"/>
      <c r="I519" s="154"/>
      <c r="J519" s="154"/>
      <c r="K519" s="154"/>
      <c r="L519" s="155"/>
      <c r="M519" s="156"/>
      <c r="N519" s="155"/>
      <c r="O519" s="155"/>
      <c r="P519" s="155"/>
      <c r="Q519" s="157"/>
      <c r="R519" s="154"/>
      <c r="S519" s="154"/>
    </row>
    <row r="520">
      <c r="A520" s="154"/>
      <c r="B520" s="154"/>
      <c r="C520" s="155"/>
      <c r="D520" s="156"/>
      <c r="E520" s="155"/>
      <c r="F520" s="155"/>
      <c r="G520" s="155"/>
      <c r="H520" s="157"/>
      <c r="I520" s="154"/>
      <c r="J520" s="154"/>
      <c r="K520" s="154"/>
      <c r="L520" s="155"/>
      <c r="M520" s="156"/>
      <c r="N520" s="155"/>
      <c r="O520" s="155"/>
      <c r="P520" s="155"/>
      <c r="Q520" s="157"/>
      <c r="R520" s="154"/>
      <c r="S520" s="154"/>
    </row>
    <row r="521">
      <c r="A521" s="154"/>
      <c r="B521" s="154"/>
      <c r="C521" s="155"/>
      <c r="D521" s="156"/>
      <c r="E521" s="155"/>
      <c r="F521" s="155"/>
      <c r="G521" s="155"/>
      <c r="H521" s="157"/>
      <c r="I521" s="154"/>
      <c r="J521" s="154"/>
      <c r="K521" s="154"/>
      <c r="L521" s="155"/>
      <c r="M521" s="156"/>
      <c r="N521" s="155"/>
      <c r="O521" s="155"/>
      <c r="P521" s="155"/>
      <c r="Q521" s="157"/>
      <c r="R521" s="154"/>
      <c r="S521" s="154"/>
    </row>
    <row r="522">
      <c r="A522" s="154"/>
      <c r="B522" s="154"/>
      <c r="C522" s="155"/>
      <c r="D522" s="156"/>
      <c r="E522" s="155"/>
      <c r="F522" s="155"/>
      <c r="G522" s="155"/>
      <c r="H522" s="157"/>
      <c r="I522" s="154"/>
      <c r="J522" s="154"/>
      <c r="K522" s="154"/>
      <c r="L522" s="155"/>
      <c r="M522" s="156"/>
      <c r="N522" s="155"/>
      <c r="O522" s="155"/>
      <c r="P522" s="155"/>
      <c r="Q522" s="157"/>
      <c r="R522" s="154"/>
      <c r="S522" s="154"/>
    </row>
    <row r="523">
      <c r="A523" s="154"/>
      <c r="B523" s="154"/>
      <c r="C523" s="155"/>
      <c r="D523" s="156"/>
      <c r="E523" s="155"/>
      <c r="F523" s="155"/>
      <c r="G523" s="155"/>
      <c r="H523" s="157"/>
      <c r="I523" s="154"/>
      <c r="J523" s="154"/>
      <c r="K523" s="154"/>
      <c r="L523" s="155"/>
      <c r="M523" s="156"/>
      <c r="N523" s="155"/>
      <c r="O523" s="155"/>
      <c r="P523" s="155"/>
      <c r="Q523" s="157"/>
      <c r="R523" s="154"/>
      <c r="S523" s="154"/>
    </row>
    <row r="524">
      <c r="A524" s="154"/>
      <c r="B524" s="154"/>
      <c r="C524" s="155"/>
      <c r="D524" s="156"/>
      <c r="E524" s="155"/>
      <c r="F524" s="155"/>
      <c r="G524" s="155"/>
      <c r="H524" s="157"/>
      <c r="I524" s="154"/>
      <c r="J524" s="154"/>
      <c r="K524" s="154"/>
      <c r="L524" s="155"/>
      <c r="M524" s="156"/>
      <c r="N524" s="155"/>
      <c r="O524" s="155"/>
      <c r="P524" s="155"/>
      <c r="Q524" s="157"/>
      <c r="R524" s="154"/>
      <c r="S524" s="154"/>
    </row>
    <row r="525">
      <c r="A525" s="154"/>
      <c r="B525" s="154"/>
      <c r="C525" s="155"/>
      <c r="D525" s="156"/>
      <c r="E525" s="155"/>
      <c r="F525" s="155"/>
      <c r="G525" s="155"/>
      <c r="H525" s="157"/>
      <c r="I525" s="154"/>
      <c r="J525" s="154"/>
      <c r="K525" s="154"/>
      <c r="L525" s="155"/>
      <c r="M525" s="156"/>
      <c r="N525" s="155"/>
      <c r="O525" s="155"/>
      <c r="P525" s="155"/>
      <c r="Q525" s="157"/>
      <c r="R525" s="154"/>
      <c r="S525" s="154"/>
    </row>
    <row r="526">
      <c r="A526" s="154"/>
      <c r="B526" s="154"/>
      <c r="C526" s="155"/>
      <c r="D526" s="156"/>
      <c r="E526" s="155"/>
      <c r="F526" s="155"/>
      <c r="G526" s="155"/>
      <c r="H526" s="157"/>
      <c r="I526" s="154"/>
      <c r="J526" s="154"/>
      <c r="K526" s="154"/>
      <c r="L526" s="155"/>
      <c r="M526" s="156"/>
      <c r="N526" s="155"/>
      <c r="O526" s="155"/>
      <c r="P526" s="155"/>
      <c r="Q526" s="157"/>
      <c r="R526" s="154"/>
      <c r="S526" s="154"/>
    </row>
    <row r="527">
      <c r="A527" s="154"/>
      <c r="B527" s="154"/>
      <c r="C527" s="155"/>
      <c r="D527" s="156"/>
      <c r="E527" s="155"/>
      <c r="F527" s="155"/>
      <c r="G527" s="155"/>
      <c r="H527" s="157"/>
      <c r="I527" s="154"/>
      <c r="J527" s="154"/>
      <c r="K527" s="154"/>
      <c r="L527" s="155"/>
      <c r="M527" s="156"/>
      <c r="N527" s="155"/>
      <c r="O527" s="155"/>
      <c r="P527" s="155"/>
      <c r="Q527" s="157"/>
      <c r="R527" s="154"/>
      <c r="S527" s="154"/>
    </row>
    <row r="528">
      <c r="A528" s="154"/>
      <c r="B528" s="154"/>
      <c r="C528" s="155"/>
      <c r="D528" s="156"/>
      <c r="E528" s="155"/>
      <c r="F528" s="155"/>
      <c r="G528" s="155"/>
      <c r="H528" s="157"/>
      <c r="I528" s="154"/>
      <c r="J528" s="154"/>
      <c r="K528" s="154"/>
      <c r="L528" s="155"/>
      <c r="M528" s="156"/>
      <c r="N528" s="155"/>
      <c r="O528" s="155"/>
      <c r="P528" s="155"/>
      <c r="Q528" s="157"/>
      <c r="R528" s="154"/>
      <c r="S528" s="154"/>
    </row>
    <row r="529">
      <c r="A529" s="154"/>
      <c r="B529" s="154"/>
      <c r="C529" s="155"/>
      <c r="D529" s="156"/>
      <c r="E529" s="155"/>
      <c r="F529" s="155"/>
      <c r="G529" s="155"/>
      <c r="H529" s="157"/>
      <c r="I529" s="154"/>
      <c r="J529" s="154"/>
      <c r="K529" s="154"/>
      <c r="L529" s="155"/>
      <c r="M529" s="156"/>
      <c r="N529" s="155"/>
      <c r="O529" s="155"/>
      <c r="P529" s="155"/>
      <c r="Q529" s="157"/>
      <c r="R529" s="154"/>
      <c r="S529" s="154"/>
    </row>
    <row r="530">
      <c r="A530" s="154"/>
      <c r="B530" s="154"/>
      <c r="C530" s="155"/>
      <c r="D530" s="156"/>
      <c r="E530" s="155"/>
      <c r="F530" s="155"/>
      <c r="G530" s="155"/>
      <c r="H530" s="157"/>
      <c r="I530" s="154"/>
      <c r="J530" s="154"/>
      <c r="K530" s="154"/>
      <c r="L530" s="155"/>
      <c r="M530" s="156"/>
      <c r="N530" s="155"/>
      <c r="O530" s="155"/>
      <c r="P530" s="155"/>
      <c r="Q530" s="157"/>
      <c r="R530" s="154"/>
      <c r="S530" s="154"/>
    </row>
    <row r="531">
      <c r="A531" s="154"/>
      <c r="B531" s="154"/>
      <c r="C531" s="155"/>
      <c r="D531" s="156"/>
      <c r="E531" s="155"/>
      <c r="F531" s="155"/>
      <c r="G531" s="155"/>
      <c r="H531" s="157"/>
      <c r="I531" s="154"/>
      <c r="J531" s="154"/>
      <c r="K531" s="154"/>
      <c r="L531" s="155"/>
      <c r="M531" s="156"/>
      <c r="N531" s="155"/>
      <c r="O531" s="155"/>
      <c r="P531" s="155"/>
      <c r="Q531" s="157"/>
      <c r="R531" s="154"/>
      <c r="S531" s="154"/>
    </row>
    <row r="532">
      <c r="A532" s="154"/>
      <c r="B532" s="154"/>
      <c r="C532" s="155"/>
      <c r="D532" s="156"/>
      <c r="E532" s="155"/>
      <c r="F532" s="155"/>
      <c r="G532" s="155"/>
      <c r="H532" s="157"/>
      <c r="I532" s="154"/>
      <c r="J532" s="154"/>
      <c r="K532" s="154"/>
      <c r="L532" s="155"/>
      <c r="M532" s="156"/>
      <c r="N532" s="155"/>
      <c r="O532" s="155"/>
      <c r="P532" s="155"/>
      <c r="Q532" s="157"/>
      <c r="R532" s="154"/>
      <c r="S532" s="154"/>
    </row>
    <row r="533">
      <c r="A533" s="154"/>
      <c r="B533" s="154"/>
      <c r="C533" s="155"/>
      <c r="D533" s="156"/>
      <c r="E533" s="155"/>
      <c r="F533" s="155"/>
      <c r="G533" s="155"/>
      <c r="H533" s="157"/>
      <c r="I533" s="154"/>
      <c r="J533" s="154"/>
      <c r="K533" s="154"/>
      <c r="L533" s="155"/>
      <c r="M533" s="156"/>
      <c r="N533" s="155"/>
      <c r="O533" s="155"/>
      <c r="P533" s="155"/>
      <c r="Q533" s="157"/>
      <c r="R533" s="154"/>
      <c r="S533" s="154"/>
    </row>
    <row r="534">
      <c r="A534" s="154"/>
      <c r="B534" s="154"/>
      <c r="C534" s="155"/>
      <c r="D534" s="156"/>
      <c r="E534" s="155"/>
      <c r="F534" s="155"/>
      <c r="G534" s="155"/>
      <c r="H534" s="157"/>
      <c r="I534" s="154"/>
      <c r="J534" s="154"/>
      <c r="K534" s="154"/>
      <c r="L534" s="155"/>
      <c r="M534" s="156"/>
      <c r="N534" s="155"/>
      <c r="O534" s="155"/>
      <c r="P534" s="155"/>
      <c r="Q534" s="157"/>
      <c r="R534" s="154"/>
      <c r="S534" s="154"/>
    </row>
    <row r="535">
      <c r="A535" s="154"/>
      <c r="B535" s="154"/>
      <c r="C535" s="155"/>
      <c r="D535" s="156"/>
      <c r="E535" s="155"/>
      <c r="F535" s="155"/>
      <c r="G535" s="155"/>
      <c r="H535" s="157"/>
      <c r="I535" s="154"/>
      <c r="J535" s="154"/>
      <c r="K535" s="154"/>
      <c r="L535" s="155"/>
      <c r="M535" s="156"/>
      <c r="N535" s="155"/>
      <c r="O535" s="155"/>
      <c r="P535" s="155"/>
      <c r="Q535" s="157"/>
      <c r="R535" s="154"/>
      <c r="S535" s="154"/>
    </row>
    <row r="536">
      <c r="A536" s="154"/>
      <c r="B536" s="154"/>
      <c r="C536" s="155"/>
      <c r="D536" s="156"/>
      <c r="E536" s="155"/>
      <c r="F536" s="155"/>
      <c r="G536" s="155"/>
      <c r="H536" s="157"/>
      <c r="I536" s="154"/>
      <c r="J536" s="154"/>
      <c r="K536" s="154"/>
      <c r="L536" s="155"/>
      <c r="M536" s="156"/>
      <c r="N536" s="155"/>
      <c r="O536" s="155"/>
      <c r="P536" s="155"/>
      <c r="Q536" s="157"/>
      <c r="R536" s="154"/>
      <c r="S536" s="154"/>
    </row>
    <row r="537">
      <c r="A537" s="154"/>
      <c r="B537" s="154"/>
      <c r="C537" s="155"/>
      <c r="D537" s="156"/>
      <c r="E537" s="155"/>
      <c r="F537" s="155"/>
      <c r="G537" s="155"/>
      <c r="H537" s="157"/>
      <c r="I537" s="154"/>
      <c r="J537" s="154"/>
      <c r="K537" s="154"/>
      <c r="L537" s="155"/>
      <c r="M537" s="156"/>
      <c r="N537" s="155"/>
      <c r="O537" s="155"/>
      <c r="P537" s="155"/>
      <c r="Q537" s="157"/>
      <c r="R537" s="154"/>
      <c r="S537" s="154"/>
    </row>
    <row r="538">
      <c r="A538" s="154"/>
      <c r="B538" s="154"/>
      <c r="C538" s="155"/>
      <c r="D538" s="156"/>
      <c r="E538" s="155"/>
      <c r="F538" s="155"/>
      <c r="G538" s="155"/>
      <c r="H538" s="157"/>
      <c r="I538" s="154"/>
      <c r="J538" s="154"/>
      <c r="K538" s="154"/>
      <c r="L538" s="155"/>
      <c r="M538" s="156"/>
      <c r="N538" s="155"/>
      <c r="O538" s="155"/>
      <c r="P538" s="155"/>
      <c r="Q538" s="157"/>
      <c r="R538" s="154"/>
      <c r="S538" s="154"/>
    </row>
    <row r="539">
      <c r="A539" s="154"/>
      <c r="B539" s="154"/>
      <c r="C539" s="155"/>
      <c r="D539" s="156"/>
      <c r="E539" s="155"/>
      <c r="F539" s="155"/>
      <c r="G539" s="155"/>
      <c r="H539" s="157"/>
      <c r="I539" s="154"/>
      <c r="J539" s="154"/>
      <c r="K539" s="154"/>
      <c r="L539" s="155"/>
      <c r="M539" s="156"/>
      <c r="N539" s="155"/>
      <c r="O539" s="155"/>
      <c r="P539" s="155"/>
      <c r="Q539" s="157"/>
      <c r="R539" s="154"/>
      <c r="S539" s="154"/>
    </row>
    <row r="540">
      <c r="A540" s="154"/>
      <c r="B540" s="154"/>
      <c r="C540" s="155"/>
      <c r="D540" s="156"/>
      <c r="E540" s="155"/>
      <c r="F540" s="155"/>
      <c r="G540" s="155"/>
      <c r="H540" s="157"/>
      <c r="I540" s="154"/>
      <c r="J540" s="154"/>
      <c r="K540" s="154"/>
      <c r="L540" s="155"/>
      <c r="M540" s="156"/>
      <c r="N540" s="155"/>
      <c r="O540" s="155"/>
      <c r="P540" s="155"/>
      <c r="Q540" s="157"/>
      <c r="R540" s="154"/>
      <c r="S540" s="154"/>
    </row>
    <row r="541">
      <c r="A541" s="154"/>
      <c r="B541" s="154"/>
      <c r="C541" s="155"/>
      <c r="D541" s="156"/>
      <c r="E541" s="155"/>
      <c r="F541" s="155"/>
      <c r="G541" s="155"/>
      <c r="H541" s="157"/>
      <c r="I541" s="154"/>
      <c r="J541" s="154"/>
      <c r="K541" s="154"/>
      <c r="L541" s="155"/>
      <c r="M541" s="156"/>
      <c r="N541" s="155"/>
      <c r="O541" s="155"/>
      <c r="P541" s="155"/>
      <c r="Q541" s="157"/>
      <c r="R541" s="154"/>
      <c r="S541" s="154"/>
    </row>
    <row r="542">
      <c r="A542" s="154"/>
      <c r="B542" s="154"/>
      <c r="C542" s="155"/>
      <c r="D542" s="156"/>
      <c r="E542" s="155"/>
      <c r="F542" s="155"/>
      <c r="G542" s="155"/>
      <c r="H542" s="157"/>
      <c r="I542" s="154"/>
      <c r="J542" s="154"/>
      <c r="K542" s="154"/>
      <c r="L542" s="155"/>
      <c r="M542" s="156"/>
      <c r="N542" s="155"/>
      <c r="O542" s="155"/>
      <c r="P542" s="155"/>
      <c r="Q542" s="157"/>
      <c r="R542" s="154"/>
      <c r="S542" s="154"/>
    </row>
    <row r="543">
      <c r="A543" s="154"/>
      <c r="B543" s="154"/>
      <c r="C543" s="155"/>
      <c r="D543" s="156"/>
      <c r="E543" s="155"/>
      <c r="F543" s="155"/>
      <c r="G543" s="155"/>
      <c r="H543" s="157"/>
      <c r="I543" s="154"/>
      <c r="J543" s="154"/>
      <c r="K543" s="154"/>
      <c r="L543" s="155"/>
      <c r="M543" s="156"/>
      <c r="N543" s="155"/>
      <c r="O543" s="155"/>
      <c r="P543" s="155"/>
      <c r="Q543" s="157"/>
      <c r="R543" s="154"/>
      <c r="S543" s="154"/>
    </row>
    <row r="544">
      <c r="A544" s="154"/>
      <c r="B544" s="154"/>
      <c r="C544" s="155"/>
      <c r="D544" s="156"/>
      <c r="E544" s="155"/>
      <c r="F544" s="155"/>
      <c r="G544" s="155"/>
      <c r="H544" s="157"/>
      <c r="I544" s="154"/>
      <c r="J544" s="154"/>
      <c r="K544" s="154"/>
      <c r="L544" s="155"/>
      <c r="M544" s="156"/>
      <c r="N544" s="155"/>
      <c r="O544" s="155"/>
      <c r="P544" s="155"/>
      <c r="Q544" s="157"/>
      <c r="R544" s="154"/>
      <c r="S544" s="154"/>
    </row>
    <row r="545">
      <c r="A545" s="154"/>
      <c r="B545" s="154"/>
      <c r="C545" s="155"/>
      <c r="D545" s="156"/>
      <c r="E545" s="155"/>
      <c r="F545" s="155"/>
      <c r="G545" s="155"/>
      <c r="H545" s="157"/>
      <c r="I545" s="154"/>
      <c r="J545" s="154"/>
      <c r="K545" s="154"/>
      <c r="L545" s="155"/>
      <c r="M545" s="156"/>
      <c r="N545" s="155"/>
      <c r="O545" s="155"/>
      <c r="P545" s="155"/>
      <c r="Q545" s="157"/>
      <c r="R545" s="154"/>
      <c r="S545" s="154"/>
    </row>
    <row r="546">
      <c r="A546" s="154"/>
      <c r="B546" s="154"/>
      <c r="C546" s="155"/>
      <c r="D546" s="156"/>
      <c r="E546" s="155"/>
      <c r="F546" s="155"/>
      <c r="G546" s="155"/>
      <c r="H546" s="157"/>
      <c r="I546" s="154"/>
      <c r="J546" s="154"/>
      <c r="K546" s="154"/>
      <c r="L546" s="155"/>
      <c r="M546" s="156"/>
      <c r="N546" s="155"/>
      <c r="O546" s="155"/>
      <c r="P546" s="155"/>
      <c r="Q546" s="157"/>
      <c r="R546" s="154"/>
      <c r="S546" s="154"/>
    </row>
    <row r="547">
      <c r="A547" s="154"/>
      <c r="B547" s="154"/>
      <c r="C547" s="155"/>
      <c r="D547" s="156"/>
      <c r="E547" s="155"/>
      <c r="F547" s="155"/>
      <c r="G547" s="155"/>
      <c r="H547" s="157"/>
      <c r="I547" s="154"/>
      <c r="J547" s="154"/>
      <c r="K547" s="154"/>
      <c r="L547" s="155"/>
      <c r="M547" s="156"/>
      <c r="N547" s="155"/>
      <c r="O547" s="155"/>
      <c r="P547" s="155"/>
      <c r="Q547" s="157"/>
      <c r="R547" s="154"/>
      <c r="S547" s="154"/>
    </row>
    <row r="548">
      <c r="A548" s="154"/>
      <c r="B548" s="154"/>
      <c r="C548" s="155"/>
      <c r="D548" s="156"/>
      <c r="E548" s="155"/>
      <c r="F548" s="155"/>
      <c r="G548" s="155"/>
      <c r="H548" s="157"/>
      <c r="I548" s="154"/>
      <c r="J548" s="154"/>
      <c r="K548" s="154"/>
      <c r="L548" s="155"/>
      <c r="M548" s="156"/>
      <c r="N548" s="155"/>
      <c r="O548" s="155"/>
      <c r="P548" s="155"/>
      <c r="Q548" s="157"/>
      <c r="R548" s="154"/>
      <c r="S548" s="154"/>
    </row>
    <row r="549">
      <c r="A549" s="154"/>
      <c r="B549" s="154"/>
      <c r="C549" s="155"/>
      <c r="D549" s="156"/>
      <c r="E549" s="155"/>
      <c r="F549" s="155"/>
      <c r="G549" s="155"/>
      <c r="H549" s="157"/>
      <c r="I549" s="154"/>
      <c r="J549" s="154"/>
      <c r="K549" s="154"/>
      <c r="L549" s="155"/>
      <c r="M549" s="156"/>
      <c r="N549" s="155"/>
      <c r="O549" s="155"/>
      <c r="P549" s="155"/>
      <c r="Q549" s="157"/>
      <c r="R549" s="154"/>
      <c r="S549" s="154"/>
    </row>
    <row r="550">
      <c r="A550" s="154"/>
      <c r="B550" s="154"/>
      <c r="C550" s="155"/>
      <c r="D550" s="156"/>
      <c r="E550" s="155"/>
      <c r="F550" s="155"/>
      <c r="G550" s="155"/>
      <c r="H550" s="157"/>
      <c r="I550" s="154"/>
      <c r="J550" s="154"/>
      <c r="K550" s="154"/>
      <c r="L550" s="155"/>
      <c r="M550" s="156"/>
      <c r="N550" s="155"/>
      <c r="O550" s="155"/>
      <c r="P550" s="155"/>
      <c r="Q550" s="157"/>
      <c r="R550" s="154"/>
      <c r="S550" s="154"/>
    </row>
    <row r="551">
      <c r="A551" s="154"/>
      <c r="B551" s="154"/>
      <c r="C551" s="155"/>
      <c r="D551" s="156"/>
      <c r="E551" s="155"/>
      <c r="F551" s="155"/>
      <c r="G551" s="155"/>
      <c r="H551" s="157"/>
      <c r="I551" s="154"/>
      <c r="J551" s="154"/>
      <c r="K551" s="154"/>
      <c r="L551" s="155"/>
      <c r="M551" s="156"/>
      <c r="N551" s="155"/>
      <c r="O551" s="155"/>
      <c r="P551" s="155"/>
      <c r="Q551" s="157"/>
      <c r="R551" s="154"/>
      <c r="S551" s="154"/>
    </row>
    <row r="552">
      <c r="A552" s="154"/>
      <c r="B552" s="154"/>
      <c r="C552" s="155"/>
      <c r="D552" s="156"/>
      <c r="E552" s="155"/>
      <c r="F552" s="155"/>
      <c r="G552" s="155"/>
      <c r="H552" s="157"/>
      <c r="I552" s="154"/>
      <c r="J552" s="154"/>
      <c r="K552" s="154"/>
      <c r="L552" s="155"/>
      <c r="M552" s="156"/>
      <c r="N552" s="155"/>
      <c r="O552" s="155"/>
      <c r="P552" s="155"/>
      <c r="Q552" s="157"/>
      <c r="R552" s="154"/>
      <c r="S552" s="154"/>
    </row>
    <row r="553">
      <c r="A553" s="154"/>
      <c r="B553" s="154"/>
      <c r="C553" s="155"/>
      <c r="D553" s="156"/>
      <c r="E553" s="155"/>
      <c r="F553" s="155"/>
      <c r="G553" s="155"/>
      <c r="H553" s="157"/>
      <c r="I553" s="154"/>
      <c r="J553" s="154"/>
      <c r="K553" s="154"/>
      <c r="L553" s="155"/>
      <c r="M553" s="156"/>
      <c r="N553" s="155"/>
      <c r="O553" s="155"/>
      <c r="P553" s="155"/>
      <c r="Q553" s="157"/>
      <c r="R553" s="154"/>
      <c r="S553" s="154"/>
    </row>
    <row r="554">
      <c r="A554" s="154"/>
      <c r="B554" s="154"/>
      <c r="C554" s="155"/>
      <c r="D554" s="156"/>
      <c r="E554" s="155"/>
      <c r="F554" s="155"/>
      <c r="G554" s="155"/>
      <c r="H554" s="157"/>
      <c r="I554" s="154"/>
      <c r="J554" s="154"/>
      <c r="K554" s="154"/>
      <c r="L554" s="155"/>
      <c r="M554" s="156"/>
      <c r="N554" s="155"/>
      <c r="O554" s="155"/>
      <c r="P554" s="155"/>
      <c r="Q554" s="157"/>
      <c r="R554" s="154"/>
      <c r="S554" s="154"/>
    </row>
    <row r="555">
      <c r="A555" s="154"/>
      <c r="B555" s="154"/>
      <c r="C555" s="155"/>
      <c r="D555" s="156"/>
      <c r="E555" s="155"/>
      <c r="F555" s="155"/>
      <c r="G555" s="155"/>
      <c r="H555" s="157"/>
      <c r="I555" s="154"/>
      <c r="J555" s="154"/>
      <c r="K555" s="154"/>
      <c r="L555" s="155"/>
      <c r="M555" s="156"/>
      <c r="N555" s="155"/>
      <c r="O555" s="155"/>
      <c r="P555" s="155"/>
      <c r="Q555" s="157"/>
      <c r="R555" s="154"/>
      <c r="S555" s="154"/>
    </row>
    <row r="556">
      <c r="A556" s="154"/>
      <c r="B556" s="154"/>
      <c r="C556" s="155"/>
      <c r="D556" s="156"/>
      <c r="E556" s="155"/>
      <c r="F556" s="155"/>
      <c r="G556" s="155"/>
      <c r="H556" s="157"/>
      <c r="I556" s="154"/>
      <c r="J556" s="154"/>
      <c r="K556" s="154"/>
      <c r="L556" s="155"/>
      <c r="M556" s="156"/>
      <c r="N556" s="155"/>
      <c r="O556" s="155"/>
      <c r="P556" s="155"/>
      <c r="Q556" s="157"/>
      <c r="R556" s="154"/>
      <c r="S556" s="154"/>
    </row>
    <row r="557">
      <c r="A557" s="154"/>
      <c r="B557" s="154"/>
      <c r="C557" s="155"/>
      <c r="D557" s="156"/>
      <c r="E557" s="155"/>
      <c r="F557" s="155"/>
      <c r="G557" s="155"/>
      <c r="H557" s="157"/>
      <c r="I557" s="154"/>
      <c r="J557" s="154"/>
      <c r="K557" s="154"/>
      <c r="L557" s="155"/>
      <c r="M557" s="156"/>
      <c r="N557" s="155"/>
      <c r="O557" s="155"/>
      <c r="P557" s="155"/>
      <c r="Q557" s="157"/>
      <c r="R557" s="154"/>
      <c r="S557" s="154"/>
    </row>
    <row r="558">
      <c r="A558" s="154"/>
      <c r="B558" s="154"/>
      <c r="C558" s="155"/>
      <c r="D558" s="156"/>
      <c r="E558" s="155"/>
      <c r="F558" s="155"/>
      <c r="G558" s="155"/>
      <c r="H558" s="157"/>
      <c r="I558" s="154"/>
      <c r="J558" s="154"/>
      <c r="K558" s="154"/>
      <c r="L558" s="155"/>
      <c r="M558" s="156"/>
      <c r="N558" s="155"/>
      <c r="O558" s="155"/>
      <c r="P558" s="155"/>
      <c r="Q558" s="157"/>
      <c r="R558" s="154"/>
      <c r="S558" s="154"/>
    </row>
    <row r="559">
      <c r="A559" s="154"/>
      <c r="B559" s="154"/>
      <c r="C559" s="155"/>
      <c r="D559" s="156"/>
      <c r="E559" s="155"/>
      <c r="F559" s="155"/>
      <c r="G559" s="155"/>
      <c r="H559" s="157"/>
      <c r="I559" s="154"/>
      <c r="J559" s="154"/>
      <c r="K559" s="154"/>
      <c r="L559" s="155"/>
      <c r="M559" s="156"/>
      <c r="N559" s="155"/>
      <c r="O559" s="155"/>
      <c r="P559" s="155"/>
      <c r="Q559" s="157"/>
      <c r="R559" s="154"/>
      <c r="S559" s="154"/>
    </row>
    <row r="560">
      <c r="A560" s="154"/>
      <c r="B560" s="154"/>
      <c r="C560" s="155"/>
      <c r="D560" s="156"/>
      <c r="E560" s="155"/>
      <c r="F560" s="155"/>
      <c r="G560" s="155"/>
      <c r="H560" s="157"/>
      <c r="I560" s="154"/>
      <c r="J560" s="154"/>
      <c r="K560" s="154"/>
      <c r="L560" s="155"/>
      <c r="M560" s="156"/>
      <c r="N560" s="155"/>
      <c r="O560" s="155"/>
      <c r="P560" s="155"/>
      <c r="Q560" s="157"/>
      <c r="R560" s="154"/>
      <c r="S560" s="154"/>
    </row>
    <row r="561">
      <c r="A561" s="154"/>
      <c r="B561" s="154"/>
      <c r="C561" s="155"/>
      <c r="D561" s="156"/>
      <c r="E561" s="155"/>
      <c r="F561" s="155"/>
      <c r="G561" s="155"/>
      <c r="H561" s="157"/>
      <c r="I561" s="154"/>
      <c r="J561" s="154"/>
      <c r="K561" s="154"/>
      <c r="L561" s="155"/>
      <c r="M561" s="156"/>
      <c r="N561" s="155"/>
      <c r="O561" s="155"/>
      <c r="P561" s="155"/>
      <c r="Q561" s="157"/>
      <c r="R561" s="154"/>
      <c r="S561" s="154"/>
    </row>
    <row r="562">
      <c r="A562" s="154"/>
      <c r="B562" s="154"/>
      <c r="C562" s="155"/>
      <c r="D562" s="156"/>
      <c r="E562" s="155"/>
      <c r="F562" s="155"/>
      <c r="G562" s="155"/>
      <c r="H562" s="157"/>
      <c r="I562" s="154"/>
      <c r="J562" s="154"/>
      <c r="K562" s="154"/>
      <c r="L562" s="155"/>
      <c r="M562" s="156"/>
      <c r="N562" s="155"/>
      <c r="O562" s="155"/>
      <c r="P562" s="155"/>
      <c r="Q562" s="157"/>
      <c r="R562" s="154"/>
      <c r="S562" s="154"/>
    </row>
    <row r="563">
      <c r="A563" s="154"/>
      <c r="B563" s="154"/>
      <c r="C563" s="155"/>
      <c r="D563" s="156"/>
      <c r="E563" s="155"/>
      <c r="F563" s="155"/>
      <c r="G563" s="155"/>
      <c r="H563" s="157"/>
      <c r="I563" s="154"/>
      <c r="J563" s="154"/>
      <c r="K563" s="154"/>
      <c r="L563" s="155"/>
      <c r="M563" s="156"/>
      <c r="N563" s="155"/>
      <c r="O563" s="155"/>
      <c r="P563" s="155"/>
      <c r="Q563" s="157"/>
      <c r="R563" s="154"/>
      <c r="S563" s="154"/>
    </row>
    <row r="564">
      <c r="A564" s="154"/>
      <c r="B564" s="154"/>
      <c r="C564" s="155"/>
      <c r="D564" s="156"/>
      <c r="E564" s="155"/>
      <c r="F564" s="155"/>
      <c r="G564" s="155"/>
      <c r="H564" s="157"/>
      <c r="I564" s="154"/>
      <c r="J564" s="154"/>
      <c r="K564" s="154"/>
      <c r="L564" s="155"/>
      <c r="M564" s="156"/>
      <c r="N564" s="155"/>
      <c r="O564" s="155"/>
      <c r="P564" s="155"/>
      <c r="Q564" s="157"/>
      <c r="R564" s="154"/>
      <c r="S564" s="154"/>
    </row>
    <row r="565">
      <c r="A565" s="154"/>
      <c r="B565" s="154"/>
      <c r="C565" s="155"/>
      <c r="D565" s="156"/>
      <c r="E565" s="155"/>
      <c r="F565" s="155"/>
      <c r="G565" s="155"/>
      <c r="H565" s="157"/>
      <c r="I565" s="154"/>
      <c r="J565" s="154"/>
      <c r="K565" s="154"/>
      <c r="L565" s="155"/>
      <c r="M565" s="156"/>
      <c r="N565" s="155"/>
      <c r="O565" s="155"/>
      <c r="P565" s="155"/>
      <c r="Q565" s="157"/>
      <c r="R565" s="154"/>
      <c r="S565" s="154"/>
    </row>
    <row r="566">
      <c r="A566" s="154"/>
      <c r="B566" s="154"/>
      <c r="C566" s="155"/>
      <c r="D566" s="156"/>
      <c r="E566" s="155"/>
      <c r="F566" s="155"/>
      <c r="G566" s="155"/>
      <c r="H566" s="157"/>
      <c r="I566" s="154"/>
      <c r="J566" s="154"/>
      <c r="K566" s="154"/>
      <c r="L566" s="155"/>
      <c r="M566" s="156"/>
      <c r="N566" s="155"/>
      <c r="O566" s="155"/>
      <c r="P566" s="155"/>
      <c r="Q566" s="157"/>
      <c r="R566" s="154"/>
      <c r="S566" s="154"/>
    </row>
    <row r="567">
      <c r="A567" s="154"/>
      <c r="B567" s="154"/>
      <c r="C567" s="155"/>
      <c r="D567" s="156"/>
      <c r="E567" s="155"/>
      <c r="F567" s="155"/>
      <c r="G567" s="155"/>
      <c r="H567" s="157"/>
      <c r="I567" s="154"/>
      <c r="J567" s="154"/>
      <c r="K567" s="154"/>
      <c r="L567" s="155"/>
      <c r="M567" s="156"/>
      <c r="N567" s="155"/>
      <c r="O567" s="155"/>
      <c r="P567" s="155"/>
      <c r="Q567" s="157"/>
      <c r="R567" s="154"/>
      <c r="S567" s="154"/>
    </row>
    <row r="568">
      <c r="A568" s="154"/>
      <c r="B568" s="154"/>
      <c r="C568" s="155"/>
      <c r="D568" s="156"/>
      <c r="E568" s="155"/>
      <c r="F568" s="155"/>
      <c r="G568" s="155"/>
      <c r="H568" s="157"/>
      <c r="I568" s="154"/>
      <c r="J568" s="154"/>
      <c r="K568" s="154"/>
      <c r="L568" s="155"/>
      <c r="M568" s="156"/>
      <c r="N568" s="155"/>
      <c r="O568" s="155"/>
      <c r="P568" s="155"/>
      <c r="Q568" s="157"/>
      <c r="R568" s="154"/>
      <c r="S568" s="154"/>
    </row>
    <row r="569">
      <c r="A569" s="154"/>
      <c r="B569" s="154"/>
      <c r="C569" s="155"/>
      <c r="D569" s="156"/>
      <c r="E569" s="155"/>
      <c r="F569" s="155"/>
      <c r="G569" s="155"/>
      <c r="H569" s="157"/>
      <c r="I569" s="154"/>
      <c r="J569" s="154"/>
      <c r="K569" s="154"/>
      <c r="L569" s="155"/>
      <c r="M569" s="156"/>
      <c r="N569" s="155"/>
      <c r="O569" s="155"/>
      <c r="P569" s="155"/>
      <c r="Q569" s="157"/>
      <c r="R569" s="154"/>
      <c r="S569" s="154"/>
    </row>
    <row r="570">
      <c r="A570" s="154"/>
      <c r="B570" s="154"/>
      <c r="C570" s="155"/>
      <c r="D570" s="156"/>
      <c r="E570" s="155"/>
      <c r="F570" s="155"/>
      <c r="G570" s="155"/>
      <c r="H570" s="157"/>
      <c r="I570" s="154"/>
      <c r="J570" s="154"/>
      <c r="K570" s="154"/>
      <c r="L570" s="155"/>
      <c r="M570" s="156"/>
      <c r="N570" s="155"/>
      <c r="O570" s="155"/>
      <c r="P570" s="155"/>
      <c r="Q570" s="157"/>
      <c r="R570" s="154"/>
      <c r="S570" s="154"/>
    </row>
    <row r="571">
      <c r="A571" s="154"/>
      <c r="B571" s="154"/>
      <c r="C571" s="155"/>
      <c r="D571" s="156"/>
      <c r="E571" s="155"/>
      <c r="F571" s="155"/>
      <c r="G571" s="155"/>
      <c r="H571" s="157"/>
      <c r="I571" s="154"/>
      <c r="J571" s="154"/>
      <c r="K571" s="154"/>
      <c r="L571" s="155"/>
      <c r="M571" s="156"/>
      <c r="N571" s="155"/>
      <c r="O571" s="155"/>
      <c r="P571" s="155"/>
      <c r="Q571" s="157"/>
      <c r="R571" s="154"/>
      <c r="S571" s="154"/>
    </row>
    <row r="572">
      <c r="A572" s="154"/>
      <c r="B572" s="154"/>
      <c r="C572" s="155"/>
      <c r="D572" s="156"/>
      <c r="E572" s="155"/>
      <c r="F572" s="155"/>
      <c r="G572" s="155"/>
      <c r="H572" s="157"/>
      <c r="I572" s="154"/>
      <c r="J572" s="154"/>
      <c r="K572" s="154"/>
      <c r="L572" s="155"/>
      <c r="M572" s="156"/>
      <c r="N572" s="155"/>
      <c r="O572" s="155"/>
      <c r="P572" s="155"/>
      <c r="Q572" s="157"/>
      <c r="R572" s="154"/>
      <c r="S572" s="154"/>
    </row>
    <row r="573">
      <c r="A573" s="154"/>
      <c r="B573" s="154"/>
      <c r="C573" s="155"/>
      <c r="D573" s="156"/>
      <c r="E573" s="155"/>
      <c r="F573" s="155"/>
      <c r="G573" s="155"/>
      <c r="H573" s="157"/>
      <c r="I573" s="154"/>
      <c r="J573" s="154"/>
      <c r="K573" s="154"/>
      <c r="L573" s="155"/>
      <c r="M573" s="156"/>
      <c r="N573" s="155"/>
      <c r="O573" s="155"/>
      <c r="P573" s="155"/>
      <c r="Q573" s="157"/>
      <c r="R573" s="154"/>
      <c r="S573" s="154"/>
    </row>
    <row r="574">
      <c r="A574" s="154"/>
      <c r="B574" s="154"/>
      <c r="C574" s="155"/>
      <c r="D574" s="156"/>
      <c r="E574" s="155"/>
      <c r="F574" s="155"/>
      <c r="G574" s="155"/>
      <c r="H574" s="157"/>
      <c r="I574" s="154"/>
      <c r="J574" s="154"/>
      <c r="K574" s="154"/>
      <c r="L574" s="155"/>
      <c r="M574" s="156"/>
      <c r="N574" s="155"/>
      <c r="O574" s="155"/>
      <c r="P574" s="155"/>
      <c r="Q574" s="157"/>
      <c r="R574" s="154"/>
      <c r="S574" s="154"/>
    </row>
    <row r="575">
      <c r="A575" s="154"/>
      <c r="B575" s="154"/>
      <c r="C575" s="155"/>
      <c r="D575" s="156"/>
      <c r="E575" s="155"/>
      <c r="F575" s="155"/>
      <c r="G575" s="155"/>
      <c r="H575" s="157"/>
      <c r="I575" s="154"/>
      <c r="J575" s="154"/>
      <c r="K575" s="154"/>
      <c r="L575" s="155"/>
      <c r="M575" s="156"/>
      <c r="N575" s="155"/>
      <c r="O575" s="155"/>
      <c r="P575" s="155"/>
      <c r="Q575" s="157"/>
      <c r="R575" s="154"/>
      <c r="S575" s="154"/>
    </row>
    <row r="576">
      <c r="A576" s="154"/>
      <c r="B576" s="154"/>
      <c r="C576" s="155"/>
      <c r="D576" s="156"/>
      <c r="E576" s="155"/>
      <c r="F576" s="155"/>
      <c r="G576" s="155"/>
      <c r="H576" s="157"/>
      <c r="I576" s="154"/>
      <c r="J576" s="154"/>
      <c r="K576" s="154"/>
      <c r="L576" s="155"/>
      <c r="M576" s="156"/>
      <c r="N576" s="155"/>
      <c r="O576" s="155"/>
      <c r="P576" s="155"/>
      <c r="Q576" s="157"/>
      <c r="R576" s="154"/>
      <c r="S576" s="154"/>
    </row>
    <row r="577">
      <c r="A577" s="154"/>
      <c r="B577" s="154"/>
      <c r="C577" s="155"/>
      <c r="D577" s="156"/>
      <c r="E577" s="155"/>
      <c r="F577" s="155"/>
      <c r="G577" s="155"/>
      <c r="H577" s="157"/>
      <c r="I577" s="154"/>
      <c r="J577" s="154"/>
      <c r="K577" s="154"/>
      <c r="L577" s="155"/>
      <c r="M577" s="156"/>
      <c r="N577" s="155"/>
      <c r="O577" s="155"/>
      <c r="P577" s="155"/>
      <c r="Q577" s="157"/>
      <c r="R577" s="154"/>
      <c r="S577" s="154"/>
    </row>
    <row r="578">
      <c r="A578" s="154"/>
      <c r="B578" s="154"/>
      <c r="C578" s="155"/>
      <c r="D578" s="156"/>
      <c r="E578" s="155"/>
      <c r="F578" s="155"/>
      <c r="G578" s="155"/>
      <c r="H578" s="157"/>
      <c r="I578" s="154"/>
      <c r="J578" s="154"/>
      <c r="K578" s="154"/>
      <c r="L578" s="155"/>
      <c r="M578" s="156"/>
      <c r="N578" s="155"/>
      <c r="O578" s="155"/>
      <c r="P578" s="155"/>
      <c r="Q578" s="157"/>
      <c r="R578" s="154"/>
      <c r="S578" s="154"/>
    </row>
    <row r="579">
      <c r="A579" s="154"/>
      <c r="B579" s="154"/>
      <c r="C579" s="155"/>
      <c r="D579" s="156"/>
      <c r="E579" s="155"/>
      <c r="F579" s="155"/>
      <c r="G579" s="155"/>
      <c r="H579" s="157"/>
      <c r="I579" s="154"/>
      <c r="J579" s="154"/>
      <c r="K579" s="154"/>
      <c r="L579" s="155"/>
      <c r="M579" s="156"/>
      <c r="N579" s="155"/>
      <c r="O579" s="155"/>
      <c r="P579" s="155"/>
      <c r="Q579" s="157"/>
      <c r="R579" s="154"/>
      <c r="S579" s="154"/>
    </row>
    <row r="580">
      <c r="A580" s="154"/>
      <c r="B580" s="154"/>
      <c r="C580" s="155"/>
      <c r="D580" s="156"/>
      <c r="E580" s="155"/>
      <c r="F580" s="155"/>
      <c r="G580" s="155"/>
      <c r="H580" s="157"/>
      <c r="I580" s="154"/>
      <c r="J580" s="154"/>
      <c r="K580" s="154"/>
      <c r="L580" s="155"/>
      <c r="M580" s="156"/>
      <c r="N580" s="155"/>
      <c r="O580" s="155"/>
      <c r="P580" s="155"/>
      <c r="Q580" s="157"/>
      <c r="R580" s="154"/>
      <c r="S580" s="154"/>
    </row>
    <row r="581">
      <c r="A581" s="154"/>
      <c r="B581" s="154"/>
      <c r="C581" s="155"/>
      <c r="D581" s="156"/>
      <c r="E581" s="155"/>
      <c r="F581" s="155"/>
      <c r="G581" s="155"/>
      <c r="H581" s="157"/>
      <c r="I581" s="154"/>
      <c r="J581" s="154"/>
      <c r="K581" s="154"/>
      <c r="L581" s="155"/>
      <c r="M581" s="156"/>
      <c r="N581" s="155"/>
      <c r="O581" s="155"/>
      <c r="P581" s="155"/>
      <c r="Q581" s="157"/>
      <c r="R581" s="154"/>
      <c r="S581" s="154"/>
    </row>
    <row r="582">
      <c r="A582" s="154"/>
      <c r="B582" s="154"/>
      <c r="C582" s="155"/>
      <c r="D582" s="156"/>
      <c r="E582" s="155"/>
      <c r="F582" s="155"/>
      <c r="G582" s="155"/>
      <c r="H582" s="157"/>
      <c r="I582" s="154"/>
      <c r="J582" s="154"/>
      <c r="K582" s="154"/>
      <c r="L582" s="155"/>
      <c r="M582" s="156"/>
      <c r="N582" s="155"/>
      <c r="O582" s="155"/>
      <c r="P582" s="155"/>
      <c r="Q582" s="157"/>
      <c r="R582" s="154"/>
      <c r="S582" s="154"/>
    </row>
    <row r="583">
      <c r="A583" s="154"/>
      <c r="B583" s="154"/>
      <c r="C583" s="155"/>
      <c r="D583" s="156"/>
      <c r="E583" s="155"/>
      <c r="F583" s="155"/>
      <c r="G583" s="155"/>
      <c r="H583" s="157"/>
      <c r="I583" s="154"/>
      <c r="J583" s="154"/>
      <c r="K583" s="154"/>
      <c r="L583" s="155"/>
      <c r="M583" s="156"/>
      <c r="N583" s="155"/>
      <c r="O583" s="155"/>
      <c r="P583" s="155"/>
      <c r="Q583" s="157"/>
      <c r="R583" s="154"/>
      <c r="S583" s="154"/>
    </row>
    <row r="584">
      <c r="A584" s="154"/>
      <c r="B584" s="154"/>
      <c r="C584" s="155"/>
      <c r="D584" s="156"/>
      <c r="E584" s="155"/>
      <c r="F584" s="155"/>
      <c r="G584" s="155"/>
      <c r="H584" s="157"/>
      <c r="I584" s="154"/>
      <c r="J584" s="154"/>
      <c r="K584" s="154"/>
      <c r="L584" s="155"/>
      <c r="M584" s="156"/>
      <c r="N584" s="155"/>
      <c r="O584" s="155"/>
      <c r="P584" s="155"/>
      <c r="Q584" s="157"/>
      <c r="R584" s="154"/>
      <c r="S584" s="154"/>
    </row>
    <row r="585">
      <c r="A585" s="154"/>
      <c r="B585" s="154"/>
      <c r="C585" s="155"/>
      <c r="D585" s="156"/>
      <c r="E585" s="155"/>
      <c r="F585" s="155"/>
      <c r="G585" s="155"/>
      <c r="H585" s="157"/>
      <c r="I585" s="154"/>
      <c r="J585" s="154"/>
      <c r="K585" s="154"/>
      <c r="L585" s="155"/>
      <c r="M585" s="156"/>
      <c r="N585" s="155"/>
      <c r="O585" s="155"/>
      <c r="P585" s="155"/>
      <c r="Q585" s="157"/>
      <c r="R585" s="154"/>
      <c r="S585" s="154"/>
    </row>
    <row r="586">
      <c r="A586" s="154"/>
      <c r="B586" s="154"/>
      <c r="C586" s="155"/>
      <c r="D586" s="156"/>
      <c r="E586" s="155"/>
      <c r="F586" s="155"/>
      <c r="G586" s="155"/>
      <c r="H586" s="157"/>
      <c r="I586" s="154"/>
      <c r="J586" s="154"/>
      <c r="K586" s="154"/>
      <c r="L586" s="155"/>
      <c r="M586" s="156"/>
      <c r="N586" s="155"/>
      <c r="O586" s="155"/>
      <c r="P586" s="155"/>
      <c r="Q586" s="157"/>
      <c r="R586" s="154"/>
      <c r="S586" s="154"/>
    </row>
    <row r="587">
      <c r="A587" s="154"/>
      <c r="B587" s="154"/>
      <c r="C587" s="155"/>
      <c r="D587" s="156"/>
      <c r="E587" s="155"/>
      <c r="F587" s="155"/>
      <c r="G587" s="155"/>
      <c r="H587" s="157"/>
      <c r="I587" s="154"/>
      <c r="J587" s="154"/>
      <c r="K587" s="154"/>
      <c r="L587" s="155"/>
      <c r="M587" s="156"/>
      <c r="N587" s="155"/>
      <c r="O587" s="155"/>
      <c r="P587" s="155"/>
      <c r="Q587" s="157"/>
      <c r="R587" s="154"/>
      <c r="S587" s="154"/>
    </row>
    <row r="588">
      <c r="A588" s="154"/>
      <c r="B588" s="154"/>
      <c r="C588" s="155"/>
      <c r="D588" s="156"/>
      <c r="E588" s="155"/>
      <c r="F588" s="155"/>
      <c r="G588" s="155"/>
      <c r="H588" s="157"/>
      <c r="I588" s="154"/>
      <c r="J588" s="154"/>
      <c r="K588" s="154"/>
      <c r="L588" s="155"/>
      <c r="M588" s="156"/>
      <c r="N588" s="155"/>
      <c r="O588" s="155"/>
      <c r="P588" s="155"/>
      <c r="Q588" s="157"/>
      <c r="R588" s="154"/>
      <c r="S588" s="154"/>
    </row>
    <row r="589">
      <c r="A589" s="154"/>
      <c r="B589" s="154"/>
      <c r="C589" s="155"/>
      <c r="D589" s="156"/>
      <c r="E589" s="155"/>
      <c r="F589" s="155"/>
      <c r="G589" s="155"/>
      <c r="H589" s="157"/>
      <c r="I589" s="154"/>
      <c r="J589" s="154"/>
      <c r="K589" s="154"/>
      <c r="L589" s="155"/>
      <c r="M589" s="156"/>
      <c r="N589" s="155"/>
      <c r="O589" s="155"/>
      <c r="P589" s="155"/>
      <c r="Q589" s="157"/>
      <c r="R589" s="154"/>
      <c r="S589" s="154"/>
    </row>
    <row r="590">
      <c r="A590" s="154"/>
      <c r="B590" s="154"/>
      <c r="C590" s="155"/>
      <c r="D590" s="156"/>
      <c r="E590" s="155"/>
      <c r="F590" s="155"/>
      <c r="G590" s="155"/>
      <c r="H590" s="157"/>
      <c r="I590" s="154"/>
      <c r="J590" s="154"/>
      <c r="K590" s="154"/>
      <c r="L590" s="155"/>
      <c r="M590" s="156"/>
      <c r="N590" s="155"/>
      <c r="O590" s="155"/>
      <c r="P590" s="155"/>
      <c r="Q590" s="157"/>
      <c r="R590" s="154"/>
      <c r="S590" s="154"/>
    </row>
    <row r="591">
      <c r="A591" s="154"/>
      <c r="B591" s="154"/>
      <c r="C591" s="155"/>
      <c r="D591" s="156"/>
      <c r="E591" s="155"/>
      <c r="F591" s="155"/>
      <c r="G591" s="155"/>
      <c r="H591" s="157"/>
      <c r="I591" s="154"/>
      <c r="J591" s="154"/>
      <c r="K591" s="154"/>
      <c r="L591" s="155"/>
      <c r="M591" s="156"/>
      <c r="N591" s="155"/>
      <c r="O591" s="155"/>
      <c r="P591" s="155"/>
      <c r="Q591" s="157"/>
      <c r="R591" s="154"/>
      <c r="S591" s="154"/>
    </row>
    <row r="592">
      <c r="A592" s="154"/>
      <c r="B592" s="154"/>
      <c r="C592" s="155"/>
      <c r="D592" s="156"/>
      <c r="E592" s="155"/>
      <c r="F592" s="155"/>
      <c r="G592" s="155"/>
      <c r="H592" s="157"/>
      <c r="I592" s="154"/>
      <c r="J592" s="154"/>
      <c r="K592" s="154"/>
      <c r="L592" s="155"/>
      <c r="M592" s="156"/>
      <c r="N592" s="155"/>
      <c r="O592" s="155"/>
      <c r="P592" s="155"/>
      <c r="Q592" s="157"/>
      <c r="R592" s="154"/>
      <c r="S592" s="154"/>
    </row>
    <row r="593">
      <c r="A593" s="154"/>
      <c r="B593" s="154"/>
      <c r="C593" s="155"/>
      <c r="D593" s="156"/>
      <c r="E593" s="155"/>
      <c r="F593" s="155"/>
      <c r="G593" s="155"/>
      <c r="H593" s="157"/>
      <c r="I593" s="154"/>
      <c r="J593" s="154"/>
      <c r="K593" s="154"/>
      <c r="L593" s="155"/>
      <c r="M593" s="156"/>
      <c r="N593" s="155"/>
      <c r="O593" s="155"/>
      <c r="P593" s="155"/>
      <c r="Q593" s="157"/>
      <c r="R593" s="154"/>
      <c r="S593" s="154"/>
    </row>
    <row r="594">
      <c r="A594" s="154"/>
      <c r="B594" s="154"/>
      <c r="C594" s="155"/>
      <c r="D594" s="156"/>
      <c r="E594" s="155"/>
      <c r="F594" s="155"/>
      <c r="G594" s="155"/>
      <c r="H594" s="157"/>
      <c r="I594" s="154"/>
      <c r="J594" s="154"/>
      <c r="K594" s="154"/>
      <c r="L594" s="155"/>
      <c r="M594" s="156"/>
      <c r="N594" s="155"/>
      <c r="O594" s="155"/>
      <c r="P594" s="155"/>
      <c r="Q594" s="157"/>
      <c r="R594" s="154"/>
      <c r="S594" s="154"/>
    </row>
    <row r="595">
      <c r="A595" s="154"/>
      <c r="B595" s="154"/>
      <c r="C595" s="155"/>
      <c r="D595" s="156"/>
      <c r="E595" s="155"/>
      <c r="F595" s="155"/>
      <c r="G595" s="155"/>
      <c r="H595" s="157"/>
      <c r="I595" s="154"/>
      <c r="J595" s="154"/>
      <c r="K595" s="154"/>
      <c r="L595" s="155"/>
      <c r="M595" s="156"/>
      <c r="N595" s="155"/>
      <c r="O595" s="155"/>
      <c r="P595" s="155"/>
      <c r="Q595" s="157"/>
      <c r="R595" s="154"/>
      <c r="S595" s="154"/>
    </row>
    <row r="596">
      <c r="A596" s="154"/>
      <c r="B596" s="154"/>
      <c r="C596" s="155"/>
      <c r="D596" s="156"/>
      <c r="E596" s="155"/>
      <c r="F596" s="155"/>
      <c r="G596" s="155"/>
      <c r="H596" s="157"/>
      <c r="I596" s="154"/>
      <c r="J596" s="154"/>
      <c r="K596" s="154"/>
      <c r="L596" s="155"/>
      <c r="M596" s="156"/>
      <c r="N596" s="155"/>
      <c r="O596" s="155"/>
      <c r="P596" s="155"/>
      <c r="Q596" s="157"/>
      <c r="R596" s="154"/>
      <c r="S596" s="154"/>
    </row>
    <row r="597">
      <c r="A597" s="154"/>
      <c r="B597" s="154"/>
      <c r="C597" s="155"/>
      <c r="D597" s="156"/>
      <c r="E597" s="155"/>
      <c r="F597" s="155"/>
      <c r="G597" s="155"/>
      <c r="H597" s="157"/>
      <c r="I597" s="154"/>
      <c r="J597" s="154"/>
      <c r="K597" s="154"/>
      <c r="L597" s="155"/>
      <c r="M597" s="156"/>
      <c r="N597" s="155"/>
      <c r="O597" s="155"/>
      <c r="P597" s="155"/>
      <c r="Q597" s="157"/>
      <c r="R597" s="154"/>
      <c r="S597" s="154"/>
    </row>
    <row r="598">
      <c r="A598" s="154"/>
      <c r="B598" s="154"/>
      <c r="C598" s="155"/>
      <c r="D598" s="156"/>
      <c r="E598" s="155"/>
      <c r="F598" s="155"/>
      <c r="G598" s="155"/>
      <c r="H598" s="157"/>
      <c r="I598" s="154"/>
      <c r="J598" s="154"/>
      <c r="K598" s="154"/>
      <c r="L598" s="155"/>
      <c r="M598" s="156"/>
      <c r="N598" s="155"/>
      <c r="O598" s="155"/>
      <c r="P598" s="155"/>
      <c r="Q598" s="157"/>
      <c r="R598" s="154"/>
      <c r="S598" s="154"/>
    </row>
    <row r="599">
      <c r="A599" s="154"/>
      <c r="B599" s="154"/>
      <c r="C599" s="155"/>
      <c r="D599" s="156"/>
      <c r="E599" s="155"/>
      <c r="F599" s="155"/>
      <c r="G599" s="155"/>
      <c r="H599" s="157"/>
      <c r="I599" s="154"/>
      <c r="J599" s="154"/>
      <c r="K599" s="154"/>
      <c r="L599" s="155"/>
      <c r="M599" s="156"/>
      <c r="N599" s="155"/>
      <c r="O599" s="155"/>
      <c r="P599" s="155"/>
      <c r="Q599" s="157"/>
      <c r="R599" s="154"/>
      <c r="S599" s="154"/>
    </row>
    <row r="600">
      <c r="A600" s="154"/>
      <c r="B600" s="154"/>
      <c r="C600" s="155"/>
      <c r="D600" s="156"/>
      <c r="E600" s="155"/>
      <c r="F600" s="155"/>
      <c r="G600" s="155"/>
      <c r="H600" s="157"/>
      <c r="I600" s="154"/>
      <c r="J600" s="154"/>
      <c r="K600" s="154"/>
      <c r="L600" s="155"/>
      <c r="M600" s="156"/>
      <c r="N600" s="155"/>
      <c r="O600" s="155"/>
      <c r="P600" s="155"/>
      <c r="Q600" s="157"/>
      <c r="R600" s="154"/>
      <c r="S600" s="154"/>
    </row>
    <row r="601">
      <c r="A601" s="154"/>
      <c r="B601" s="154"/>
      <c r="C601" s="155"/>
      <c r="D601" s="156"/>
      <c r="E601" s="155"/>
      <c r="F601" s="155"/>
      <c r="G601" s="155"/>
      <c r="H601" s="157"/>
      <c r="I601" s="154"/>
      <c r="J601" s="154"/>
      <c r="K601" s="154"/>
      <c r="L601" s="155"/>
      <c r="M601" s="156"/>
      <c r="N601" s="155"/>
      <c r="O601" s="155"/>
      <c r="P601" s="155"/>
      <c r="Q601" s="157"/>
      <c r="R601" s="154"/>
      <c r="S601" s="154"/>
    </row>
    <row r="602">
      <c r="A602" s="154"/>
      <c r="B602" s="154"/>
      <c r="C602" s="155"/>
      <c r="D602" s="156"/>
      <c r="E602" s="155"/>
      <c r="F602" s="155"/>
      <c r="G602" s="155"/>
      <c r="H602" s="157"/>
      <c r="I602" s="154"/>
      <c r="J602" s="154"/>
      <c r="K602" s="154"/>
      <c r="L602" s="155"/>
      <c r="M602" s="156"/>
      <c r="N602" s="155"/>
      <c r="O602" s="155"/>
      <c r="P602" s="155"/>
      <c r="Q602" s="157"/>
      <c r="R602" s="154"/>
      <c r="S602" s="154"/>
    </row>
    <row r="603">
      <c r="A603" s="154"/>
      <c r="B603" s="154"/>
      <c r="C603" s="155"/>
      <c r="D603" s="156"/>
      <c r="E603" s="155"/>
      <c r="F603" s="155"/>
      <c r="G603" s="155"/>
      <c r="H603" s="157"/>
      <c r="I603" s="154"/>
      <c r="J603" s="154"/>
      <c r="K603" s="154"/>
      <c r="L603" s="155"/>
      <c r="M603" s="156"/>
      <c r="N603" s="155"/>
      <c r="O603" s="155"/>
      <c r="P603" s="155"/>
      <c r="Q603" s="157"/>
      <c r="R603" s="154"/>
      <c r="S603" s="154"/>
    </row>
    <row r="604">
      <c r="A604" s="154"/>
      <c r="B604" s="154"/>
      <c r="C604" s="155"/>
      <c r="D604" s="156"/>
      <c r="E604" s="155"/>
      <c r="F604" s="155"/>
      <c r="G604" s="155"/>
      <c r="H604" s="157"/>
      <c r="I604" s="154"/>
      <c r="J604" s="154"/>
      <c r="K604" s="154"/>
      <c r="L604" s="155"/>
      <c r="M604" s="156"/>
      <c r="N604" s="155"/>
      <c r="O604" s="155"/>
      <c r="P604" s="155"/>
      <c r="Q604" s="157"/>
      <c r="R604" s="154"/>
      <c r="S604" s="154"/>
    </row>
    <row r="605">
      <c r="A605" s="154"/>
      <c r="B605" s="154"/>
      <c r="C605" s="155"/>
      <c r="D605" s="156"/>
      <c r="E605" s="155"/>
      <c r="F605" s="155"/>
      <c r="G605" s="155"/>
      <c r="H605" s="157"/>
      <c r="I605" s="154"/>
      <c r="J605" s="154"/>
      <c r="K605" s="154"/>
      <c r="L605" s="155"/>
      <c r="M605" s="156"/>
      <c r="N605" s="155"/>
      <c r="O605" s="155"/>
      <c r="P605" s="155"/>
      <c r="Q605" s="157"/>
      <c r="R605" s="154"/>
      <c r="S605" s="154"/>
    </row>
    <row r="606">
      <c r="A606" s="154"/>
      <c r="B606" s="154"/>
      <c r="C606" s="155"/>
      <c r="D606" s="156"/>
      <c r="E606" s="155"/>
      <c r="F606" s="155"/>
      <c r="G606" s="155"/>
      <c r="H606" s="157"/>
      <c r="I606" s="154"/>
      <c r="J606" s="154"/>
      <c r="K606" s="154"/>
      <c r="L606" s="155"/>
      <c r="M606" s="156"/>
      <c r="N606" s="155"/>
      <c r="O606" s="155"/>
      <c r="P606" s="155"/>
      <c r="Q606" s="157"/>
      <c r="R606" s="154"/>
      <c r="S606" s="154"/>
    </row>
    <row r="607">
      <c r="A607" s="154"/>
      <c r="B607" s="154"/>
      <c r="C607" s="155"/>
      <c r="D607" s="156"/>
      <c r="E607" s="155"/>
      <c r="F607" s="155"/>
      <c r="G607" s="155"/>
      <c r="H607" s="157"/>
      <c r="I607" s="154"/>
      <c r="J607" s="154"/>
      <c r="K607" s="154"/>
      <c r="L607" s="155"/>
      <c r="M607" s="156"/>
      <c r="N607" s="155"/>
      <c r="O607" s="155"/>
      <c r="P607" s="155"/>
      <c r="Q607" s="157"/>
      <c r="R607" s="154"/>
      <c r="S607" s="154"/>
    </row>
    <row r="608">
      <c r="A608" s="154"/>
      <c r="B608" s="154"/>
      <c r="C608" s="155"/>
      <c r="D608" s="156"/>
      <c r="E608" s="155"/>
      <c r="F608" s="155"/>
      <c r="G608" s="155"/>
      <c r="H608" s="157"/>
      <c r="I608" s="154"/>
      <c r="J608" s="154"/>
      <c r="K608" s="154"/>
      <c r="L608" s="155"/>
      <c r="M608" s="156"/>
      <c r="N608" s="155"/>
      <c r="O608" s="155"/>
      <c r="P608" s="155"/>
      <c r="Q608" s="157"/>
      <c r="R608" s="154"/>
      <c r="S608" s="154"/>
    </row>
    <row r="609">
      <c r="A609" s="154"/>
      <c r="B609" s="154"/>
      <c r="C609" s="155"/>
      <c r="D609" s="156"/>
      <c r="E609" s="155"/>
      <c r="F609" s="155"/>
      <c r="G609" s="155"/>
      <c r="H609" s="157"/>
      <c r="I609" s="154"/>
      <c r="J609" s="154"/>
      <c r="K609" s="154"/>
      <c r="L609" s="155"/>
      <c r="M609" s="156"/>
      <c r="N609" s="155"/>
      <c r="O609" s="155"/>
      <c r="P609" s="155"/>
      <c r="Q609" s="157"/>
      <c r="R609" s="154"/>
      <c r="S609" s="154"/>
    </row>
    <row r="610">
      <c r="A610" s="154"/>
      <c r="B610" s="154"/>
      <c r="C610" s="155"/>
      <c r="D610" s="156"/>
      <c r="E610" s="155"/>
      <c r="F610" s="155"/>
      <c r="G610" s="155"/>
      <c r="H610" s="157"/>
      <c r="I610" s="154"/>
      <c r="J610" s="154"/>
      <c r="K610" s="154"/>
      <c r="L610" s="155"/>
      <c r="M610" s="156"/>
      <c r="N610" s="155"/>
      <c r="O610" s="155"/>
      <c r="P610" s="155"/>
      <c r="Q610" s="157"/>
      <c r="R610" s="154"/>
      <c r="S610" s="154"/>
    </row>
    <row r="611">
      <c r="A611" s="154"/>
      <c r="B611" s="154"/>
      <c r="C611" s="155"/>
      <c r="D611" s="156"/>
      <c r="E611" s="155"/>
      <c r="F611" s="155"/>
      <c r="G611" s="155"/>
      <c r="H611" s="157"/>
      <c r="I611" s="154"/>
      <c r="J611" s="154"/>
      <c r="K611" s="154"/>
      <c r="L611" s="155"/>
      <c r="M611" s="156"/>
      <c r="N611" s="155"/>
      <c r="O611" s="155"/>
      <c r="P611" s="155"/>
      <c r="Q611" s="157"/>
      <c r="R611" s="154"/>
      <c r="S611" s="154"/>
    </row>
    <row r="612">
      <c r="A612" s="154"/>
      <c r="B612" s="154"/>
      <c r="C612" s="155"/>
      <c r="D612" s="156"/>
      <c r="E612" s="155"/>
      <c r="F612" s="155"/>
      <c r="G612" s="155"/>
      <c r="H612" s="157"/>
      <c r="I612" s="154"/>
      <c r="J612" s="154"/>
      <c r="K612" s="154"/>
      <c r="L612" s="155"/>
      <c r="M612" s="156"/>
      <c r="N612" s="155"/>
      <c r="O612" s="155"/>
      <c r="P612" s="155"/>
      <c r="Q612" s="157"/>
      <c r="R612" s="154"/>
      <c r="S612" s="154"/>
    </row>
    <row r="613">
      <c r="A613" s="154"/>
      <c r="B613" s="154"/>
      <c r="C613" s="155"/>
      <c r="D613" s="156"/>
      <c r="E613" s="155"/>
      <c r="F613" s="155"/>
      <c r="G613" s="155"/>
      <c r="H613" s="157"/>
      <c r="I613" s="154"/>
      <c r="J613" s="154"/>
      <c r="K613" s="154"/>
      <c r="L613" s="155"/>
      <c r="M613" s="156"/>
      <c r="N613" s="155"/>
      <c r="O613" s="155"/>
      <c r="P613" s="155"/>
      <c r="Q613" s="157"/>
      <c r="R613" s="154"/>
      <c r="S613" s="154"/>
    </row>
    <row r="614">
      <c r="A614" s="154"/>
      <c r="B614" s="154"/>
      <c r="C614" s="155"/>
      <c r="D614" s="156"/>
      <c r="E614" s="155"/>
      <c r="F614" s="155"/>
      <c r="G614" s="155"/>
      <c r="H614" s="157"/>
      <c r="I614" s="154"/>
      <c r="J614" s="154"/>
      <c r="K614" s="154"/>
      <c r="L614" s="155"/>
      <c r="M614" s="156"/>
      <c r="N614" s="155"/>
      <c r="O614" s="155"/>
      <c r="P614" s="155"/>
      <c r="Q614" s="157"/>
      <c r="R614" s="154"/>
      <c r="S614" s="154"/>
    </row>
    <row r="615">
      <c r="A615" s="154"/>
      <c r="B615" s="154"/>
      <c r="C615" s="155"/>
      <c r="D615" s="156"/>
      <c r="E615" s="155"/>
      <c r="F615" s="155"/>
      <c r="G615" s="155"/>
      <c r="H615" s="157"/>
      <c r="I615" s="154"/>
      <c r="J615" s="154"/>
      <c r="K615" s="154"/>
      <c r="L615" s="155"/>
      <c r="M615" s="156"/>
      <c r="N615" s="155"/>
      <c r="O615" s="155"/>
      <c r="P615" s="155"/>
      <c r="Q615" s="157"/>
      <c r="R615" s="154"/>
      <c r="S615" s="154"/>
    </row>
    <row r="616">
      <c r="A616" s="154"/>
      <c r="B616" s="154"/>
      <c r="C616" s="155"/>
      <c r="D616" s="156"/>
      <c r="E616" s="155"/>
      <c r="F616" s="155"/>
      <c r="G616" s="155"/>
      <c r="H616" s="157"/>
      <c r="I616" s="154"/>
      <c r="J616" s="154"/>
      <c r="K616" s="154"/>
      <c r="L616" s="155"/>
      <c r="M616" s="156"/>
      <c r="N616" s="155"/>
      <c r="O616" s="155"/>
      <c r="P616" s="155"/>
      <c r="Q616" s="157"/>
      <c r="R616" s="154"/>
      <c r="S616" s="154"/>
    </row>
    <row r="617">
      <c r="A617" s="154"/>
      <c r="B617" s="154"/>
      <c r="C617" s="155"/>
      <c r="D617" s="156"/>
      <c r="E617" s="155"/>
      <c r="F617" s="155"/>
      <c r="G617" s="155"/>
      <c r="H617" s="157"/>
      <c r="I617" s="154"/>
      <c r="J617" s="154"/>
      <c r="K617" s="154"/>
      <c r="L617" s="155"/>
      <c r="M617" s="156"/>
      <c r="N617" s="155"/>
      <c r="O617" s="155"/>
      <c r="P617" s="155"/>
      <c r="Q617" s="157"/>
      <c r="R617" s="154"/>
      <c r="S617" s="154"/>
    </row>
    <row r="618">
      <c r="A618" s="154"/>
      <c r="B618" s="154"/>
      <c r="C618" s="155"/>
      <c r="D618" s="156"/>
      <c r="E618" s="155"/>
      <c r="F618" s="155"/>
      <c r="G618" s="155"/>
      <c r="H618" s="157"/>
      <c r="I618" s="154"/>
      <c r="J618" s="154"/>
      <c r="K618" s="154"/>
      <c r="L618" s="155"/>
      <c r="M618" s="156"/>
      <c r="N618" s="155"/>
      <c r="O618" s="155"/>
      <c r="P618" s="155"/>
      <c r="Q618" s="157"/>
      <c r="R618" s="154"/>
      <c r="S618" s="154"/>
    </row>
    <row r="619">
      <c r="A619" s="154"/>
      <c r="B619" s="154"/>
      <c r="C619" s="155"/>
      <c r="D619" s="156"/>
      <c r="E619" s="155"/>
      <c r="F619" s="155"/>
      <c r="G619" s="155"/>
      <c r="H619" s="157"/>
      <c r="I619" s="154"/>
      <c r="J619" s="154"/>
      <c r="K619" s="154"/>
      <c r="L619" s="155"/>
      <c r="M619" s="156"/>
      <c r="N619" s="155"/>
      <c r="O619" s="155"/>
      <c r="P619" s="155"/>
      <c r="Q619" s="157"/>
      <c r="R619" s="154"/>
      <c r="S619" s="154"/>
    </row>
    <row r="620">
      <c r="A620" s="154"/>
      <c r="B620" s="154"/>
      <c r="C620" s="155"/>
      <c r="D620" s="156"/>
      <c r="E620" s="155"/>
      <c r="F620" s="155"/>
      <c r="G620" s="155"/>
      <c r="H620" s="157"/>
      <c r="I620" s="154"/>
      <c r="J620" s="154"/>
      <c r="K620" s="154"/>
      <c r="L620" s="155"/>
      <c r="M620" s="156"/>
      <c r="N620" s="155"/>
      <c r="O620" s="155"/>
      <c r="P620" s="155"/>
      <c r="Q620" s="157"/>
      <c r="R620" s="154"/>
      <c r="S620" s="154"/>
    </row>
    <row r="621">
      <c r="A621" s="154"/>
      <c r="B621" s="154"/>
      <c r="C621" s="155"/>
      <c r="D621" s="156"/>
      <c r="E621" s="155"/>
      <c r="F621" s="155"/>
      <c r="G621" s="155"/>
      <c r="H621" s="157"/>
      <c r="I621" s="154"/>
      <c r="J621" s="154"/>
      <c r="K621" s="154"/>
      <c r="L621" s="155"/>
      <c r="M621" s="156"/>
      <c r="N621" s="155"/>
      <c r="O621" s="155"/>
      <c r="P621" s="155"/>
      <c r="Q621" s="157"/>
      <c r="R621" s="154"/>
      <c r="S621" s="154"/>
    </row>
    <row r="622">
      <c r="A622" s="154"/>
      <c r="B622" s="154"/>
      <c r="C622" s="155"/>
      <c r="D622" s="156"/>
      <c r="E622" s="155"/>
      <c r="F622" s="155"/>
      <c r="G622" s="155"/>
      <c r="H622" s="157"/>
      <c r="I622" s="154"/>
      <c r="J622" s="154"/>
      <c r="K622" s="154"/>
      <c r="L622" s="155"/>
      <c r="M622" s="156"/>
      <c r="N622" s="155"/>
      <c r="O622" s="155"/>
      <c r="P622" s="155"/>
      <c r="Q622" s="157"/>
      <c r="R622" s="154"/>
      <c r="S622" s="154"/>
    </row>
  </sheetData>
  <mergeCells count="6">
    <mergeCell ref="C1:H1"/>
    <mergeCell ref="L1:Q1"/>
    <mergeCell ref="C2:H2"/>
    <mergeCell ref="L2:Q2"/>
    <mergeCell ref="C3:H3"/>
    <mergeCell ref="L3:Q3"/>
  </mergeCells>
  <dataValidations>
    <dataValidation type="list" allowBlank="1" showErrorMessage="1" sqref="A1:C1 I1:L1 R1:S1">
      <formula1>'All Competencies'!$A$3:$A622</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H9"/>
    <hyperlink r:id="rId19" ref="M9"/>
    <hyperlink r:id="rId20" ref="Q9"/>
    <hyperlink r:id="rId21" ref="D10"/>
    <hyperlink r:id="rId22" ref="H10"/>
    <hyperlink r:id="rId23" ref="M10"/>
    <hyperlink r:id="rId24" ref="Q10"/>
    <hyperlink r:id="rId25" ref="D11"/>
    <hyperlink r:id="rId26" ref="H11"/>
    <hyperlink r:id="rId27" ref="M11"/>
    <hyperlink r:id="rId28" ref="D12"/>
    <hyperlink r:id="rId29" ref="H12"/>
    <hyperlink r:id="rId30" ref="M12"/>
    <hyperlink r:id="rId31" ref="D13"/>
    <hyperlink r:id="rId32" ref="H13"/>
    <hyperlink r:id="rId33" ref="M13"/>
    <hyperlink r:id="rId34" ref="D14"/>
    <hyperlink r:id="rId35" ref="H14"/>
    <hyperlink r:id="rId36" ref="M14"/>
    <hyperlink r:id="rId37" ref="D15"/>
    <hyperlink r:id="rId38" ref="H15"/>
    <hyperlink r:id="rId39" ref="M15"/>
    <hyperlink r:id="rId40" ref="D16"/>
    <hyperlink r:id="rId41" ref="H16"/>
    <hyperlink r:id="rId42" ref="M16"/>
    <hyperlink r:id="rId43" ref="D17"/>
    <hyperlink r:id="rId44" ref="H17"/>
    <hyperlink r:id="rId45" ref="M17"/>
    <hyperlink r:id="rId46" ref="D18"/>
    <hyperlink r:id="rId47" ref="H18"/>
    <hyperlink r:id="rId48" ref="M18"/>
    <hyperlink r:id="rId49" ref="D19"/>
    <hyperlink r:id="rId50" ref="H19"/>
    <hyperlink r:id="rId51" ref="M19"/>
    <hyperlink r:id="rId52" ref="D20"/>
    <hyperlink r:id="rId53" ref="M20"/>
    <hyperlink r:id="rId54" ref="D21"/>
    <hyperlink r:id="rId55" ref="M21"/>
    <hyperlink r:id="rId56" ref="D22"/>
    <hyperlink r:id="rId57" ref="M22"/>
    <hyperlink r:id="rId58" ref="D23"/>
    <hyperlink r:id="rId59" ref="M23"/>
    <hyperlink r:id="rId60" ref="D24"/>
    <hyperlink r:id="rId61" ref="M24"/>
    <hyperlink r:id="rId62" ref="D25"/>
    <hyperlink r:id="rId63" ref="M25"/>
    <hyperlink r:id="rId64" ref="D26"/>
    <hyperlink r:id="rId65" ref="M26"/>
    <hyperlink r:id="rId66" ref="D27"/>
    <hyperlink r:id="rId67" ref="M27"/>
    <hyperlink r:id="rId68" ref="D28"/>
    <hyperlink r:id="rId69" ref="M28"/>
    <hyperlink r:id="rId70" ref="D29"/>
    <hyperlink r:id="rId71" ref="M29"/>
    <hyperlink r:id="rId72" ref="D30"/>
    <hyperlink r:id="rId73" ref="M30"/>
    <hyperlink r:id="rId74" ref="D31"/>
    <hyperlink r:id="rId75" ref="M31"/>
    <hyperlink r:id="rId76" ref="D32"/>
    <hyperlink r:id="rId77" ref="M32"/>
    <hyperlink r:id="rId78" ref="D33"/>
    <hyperlink r:id="rId79" ref="M33"/>
    <hyperlink r:id="rId80" ref="D34"/>
    <hyperlink r:id="rId81" ref="M34"/>
    <hyperlink r:id="rId82" ref="D35"/>
    <hyperlink r:id="rId83" ref="M35"/>
    <hyperlink r:id="rId84" ref="D36"/>
    <hyperlink r:id="rId85" ref="M36"/>
    <hyperlink r:id="rId86" ref="D37"/>
    <hyperlink r:id="rId87" ref="M37"/>
    <hyperlink r:id="rId88" ref="D38"/>
    <hyperlink r:id="rId89" ref="M38"/>
    <hyperlink r:id="rId90" ref="D39"/>
    <hyperlink r:id="rId91" ref="M39"/>
    <hyperlink r:id="rId92" ref="D40"/>
    <hyperlink r:id="rId93" ref="M40"/>
    <hyperlink r:id="rId94" ref="D41"/>
    <hyperlink r:id="rId95" ref="M41"/>
    <hyperlink r:id="rId96" ref="D42"/>
    <hyperlink r:id="rId97" ref="M42"/>
    <hyperlink r:id="rId98" ref="D43"/>
    <hyperlink r:id="rId99" ref="M43"/>
    <hyperlink r:id="rId100" ref="D44"/>
    <hyperlink r:id="rId101" ref="M44"/>
    <hyperlink r:id="rId102" ref="D45"/>
    <hyperlink r:id="rId103" ref="M45"/>
    <hyperlink r:id="rId104" ref="D46"/>
    <hyperlink r:id="rId105" ref="M46"/>
    <hyperlink r:id="rId106" ref="D47"/>
    <hyperlink r:id="rId107" ref="M47"/>
    <hyperlink r:id="rId108" ref="D48"/>
    <hyperlink r:id="rId109" ref="M48"/>
    <hyperlink r:id="rId110" ref="D49"/>
    <hyperlink r:id="rId111" ref="M49"/>
    <hyperlink r:id="rId112" ref="D50"/>
    <hyperlink r:id="rId113" ref="M50"/>
    <hyperlink r:id="rId114" ref="D51"/>
    <hyperlink r:id="rId115" ref="M51"/>
    <hyperlink r:id="rId116" ref="D52"/>
    <hyperlink r:id="rId117" ref="M52"/>
    <hyperlink r:id="rId118" ref="D53"/>
    <hyperlink r:id="rId119" ref="M53"/>
    <hyperlink r:id="rId120" ref="D54"/>
    <hyperlink r:id="rId121" ref="M54"/>
    <hyperlink r:id="rId122" ref="D55"/>
    <hyperlink r:id="rId123" ref="M55"/>
    <hyperlink r:id="rId124" ref="D56"/>
    <hyperlink r:id="rId125" ref="M56"/>
    <hyperlink r:id="rId126" ref="D57"/>
    <hyperlink r:id="rId127" ref="M57"/>
    <hyperlink r:id="rId128" ref="D58"/>
    <hyperlink r:id="rId129" ref="M58"/>
    <hyperlink r:id="rId130" ref="D59"/>
    <hyperlink r:id="rId131" ref="M59"/>
    <hyperlink r:id="rId132" ref="D60"/>
    <hyperlink r:id="rId133" ref="D61"/>
    <hyperlink r:id="rId134" ref="D62"/>
    <hyperlink r:id="rId135" ref="D63"/>
    <hyperlink r:id="rId136" ref="D64"/>
    <hyperlink r:id="rId137" ref="D65"/>
    <hyperlink r:id="rId138" ref="D66"/>
    <hyperlink r:id="rId139" ref="D67"/>
    <hyperlink r:id="rId140" ref="D68"/>
    <hyperlink r:id="rId141" ref="D69"/>
    <hyperlink r:id="rId142" ref="D70"/>
    <hyperlink r:id="rId143" ref="D71"/>
    <hyperlink r:id="rId144" ref="D72"/>
    <hyperlink r:id="rId145" ref="D73"/>
    <hyperlink r:id="rId146" ref="D74"/>
    <hyperlink r:id="rId147" ref="D75"/>
    <hyperlink r:id="rId148" ref="D76"/>
    <hyperlink r:id="rId149" ref="D77"/>
    <hyperlink r:id="rId150" ref="D78"/>
    <hyperlink r:id="rId151" ref="D79"/>
    <hyperlink r:id="rId152" ref="D80"/>
    <hyperlink r:id="rId153" ref="D81"/>
    <hyperlink r:id="rId154" ref="D82"/>
    <hyperlink r:id="rId155" ref="D83"/>
    <hyperlink r:id="rId156" ref="D84"/>
    <hyperlink r:id="rId157" ref="D85"/>
    <hyperlink r:id="rId158" ref="D86"/>
    <hyperlink r:id="rId159" ref="D87"/>
    <hyperlink r:id="rId160" ref="D88"/>
    <hyperlink r:id="rId161" ref="D89"/>
    <hyperlink r:id="rId162" ref="D90"/>
    <hyperlink r:id="rId163" ref="D91"/>
    <hyperlink r:id="rId164" ref="D92"/>
    <hyperlink r:id="rId165" ref="D93"/>
    <hyperlink r:id="rId166" ref="D94"/>
    <hyperlink r:id="rId167" ref="D95"/>
    <hyperlink r:id="rId168" ref="D96"/>
    <hyperlink r:id="rId169" ref="D97"/>
    <hyperlink r:id="rId170" ref="D98"/>
    <hyperlink r:id="rId171" ref="D99"/>
    <hyperlink r:id="rId172" ref="D100"/>
    <hyperlink r:id="rId173" ref="D101"/>
    <hyperlink r:id="rId174" ref="D102"/>
    <hyperlink r:id="rId175" ref="D103"/>
    <hyperlink r:id="rId176" ref="D104"/>
    <hyperlink r:id="rId177" ref="D105"/>
    <hyperlink r:id="rId178" ref="D106"/>
    <hyperlink r:id="rId179" ref="D107"/>
    <hyperlink r:id="rId180" ref="D108"/>
    <hyperlink r:id="rId181" ref="D109"/>
    <hyperlink r:id="rId182" ref="D110"/>
    <hyperlink r:id="rId183" ref="D111"/>
    <hyperlink r:id="rId184" ref="D112"/>
    <hyperlink r:id="rId185" ref="D113"/>
    <hyperlink r:id="rId186" ref="D114"/>
    <hyperlink r:id="rId187" ref="D115"/>
    <hyperlink r:id="rId188" ref="D116"/>
    <hyperlink r:id="rId189" ref="D117"/>
    <hyperlink r:id="rId190" ref="D118"/>
    <hyperlink r:id="rId191" ref="D119"/>
    <hyperlink r:id="rId192" ref="D120"/>
    <hyperlink r:id="rId193" ref="D121"/>
    <hyperlink r:id="rId194" ref="D122"/>
    <hyperlink r:id="rId195" ref="D123"/>
    <hyperlink r:id="rId196" ref="D124"/>
    <hyperlink r:id="rId197" ref="D125"/>
    <hyperlink r:id="rId198" ref="D126"/>
    <hyperlink r:id="rId199" ref="D127"/>
    <hyperlink r:id="rId200" ref="D128"/>
    <hyperlink r:id="rId201" ref="D129"/>
    <hyperlink r:id="rId202" ref="D130"/>
    <hyperlink r:id="rId203" ref="D131"/>
    <hyperlink r:id="rId204" ref="D132"/>
    <hyperlink r:id="rId205" ref="D133"/>
    <hyperlink r:id="rId206" ref="D134"/>
    <hyperlink r:id="rId207" ref="D135"/>
    <hyperlink r:id="rId208" ref="D136"/>
    <hyperlink r:id="rId209" ref="D137"/>
    <hyperlink r:id="rId210" ref="D138"/>
    <hyperlink r:id="rId211" ref="D139"/>
    <hyperlink r:id="rId212" ref="D140"/>
    <hyperlink r:id="rId213" ref="D141"/>
    <hyperlink r:id="rId214" ref="D142"/>
    <hyperlink r:id="rId215" ref="D143"/>
    <hyperlink r:id="rId216" ref="D144"/>
    <hyperlink r:id="rId217" ref="D145"/>
    <hyperlink r:id="rId218" ref="D146"/>
    <hyperlink r:id="rId219" ref="D147"/>
    <hyperlink r:id="rId220" ref="D148"/>
  </hyperlinks>
  <drawing r:id="rId22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C4587"/>
    <outlinePr summaryRight="0"/>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2" width="0.63"/>
    <col customWidth="1" min="3" max="3" width="11.88"/>
    <col customWidth="1" min="4" max="4" width="48.0"/>
    <col customWidth="1" min="5" max="5" width="18.88"/>
    <col customWidth="1" min="6" max="6" width="22.38"/>
    <col customWidth="1" min="7" max="7" width="11.38"/>
    <col customWidth="1" min="8" max="8" width="43.88"/>
    <col customWidth="1" min="9" max="11" width="0.63"/>
    <col customWidth="1" min="12" max="12" width="11.88"/>
    <col customWidth="1" min="13" max="13" width="48.0"/>
    <col customWidth="1" min="14" max="14" width="20.13"/>
    <col customWidth="1" min="15" max="15" width="22.38"/>
    <col customWidth="1" min="16" max="16" width="11.38"/>
    <col customWidth="1" min="17" max="17" width="43.88"/>
    <col customWidth="1" min="18" max="19" width="0.63"/>
  </cols>
  <sheetData>
    <row r="1" ht="27.75" customHeight="1" outlineLevel="1">
      <c r="A1" s="130"/>
      <c r="B1" s="130"/>
      <c r="C1" s="131" t="s">
        <v>638</v>
      </c>
      <c r="I1" s="130"/>
      <c r="J1" s="130"/>
      <c r="K1" s="130"/>
      <c r="L1" s="131" t="s">
        <v>674</v>
      </c>
      <c r="R1" s="130"/>
      <c r="S1" s="130"/>
    </row>
    <row r="2" outlineLevel="1">
      <c r="A2" s="132"/>
      <c r="B2" s="132"/>
      <c r="C2" s="133" t="s">
        <v>1986</v>
      </c>
      <c r="I2" s="132"/>
      <c r="J2" s="132"/>
      <c r="K2" s="132"/>
      <c r="L2" s="133" t="s">
        <v>1986</v>
      </c>
      <c r="R2" s="132"/>
      <c r="S2" s="132"/>
    </row>
    <row r="3" outlineLevel="1">
      <c r="A3" s="134"/>
      <c r="B3" s="134"/>
      <c r="C3" s="135" t="str">
        <f>IFERROR(__xludf.DUMMYFUNCTION("IFERROR(UNIQUE(FILTER('Competency Learning Paths'!N:N,'Competency Learning Paths'!A:A= C1)))"),"Decision Quality, Judgement, Timely Decision-Making, Decision-Making, Problem/Opportunity Analysis, Operational Decision Making, Problem Solving, Analytical Thinking, Logical Reasoning, Intellectual Horsepower")</f>
        <v>Decision Quality, Judgement, Timely Decision-Making, Decision-Making, Problem/Opportunity Analysis, Operational Decision Making, Problem Solving, Analytical Thinking, Logical Reasoning, Intellectual Horsepower</v>
      </c>
      <c r="I3" s="134"/>
      <c r="J3" s="134"/>
      <c r="K3" s="134"/>
      <c r="L3" s="135" t="str">
        <f>IFERROR(__xludf.DUMMYFUNCTION("IFERROR(UNIQUE(FILTER('Competency Learning Paths'!N:N,'Competency Learning Paths'!A:A= L1)))"),"Customer Service Orientation, Building Customer Loyalty, Customer Service")</f>
        <v>Customer Service Orientation, Building Customer Loyalty, Customer Service</v>
      </c>
      <c r="R3" s="134"/>
      <c r="S3" s="134"/>
    </row>
    <row r="4" outlineLevel="1">
      <c r="A4" s="136"/>
      <c r="B4" s="137"/>
      <c r="C4" s="138" t="str">
        <f>IFERROR(__xludf.DUMMYFUNCTION("FILTER('All Competencies'!B:B,'All Competencies'!A:A=C1)"),"Course IDs")</f>
        <v>Course IDs</v>
      </c>
      <c r="D4" s="138" t="str">
        <f>IFERROR(__xludf.DUMMYFUNCTION("FILTER('All Competencies'!C:C,'All Competencies'!A:A=C1)"),"Courses")</f>
        <v>Courses</v>
      </c>
      <c r="E4" s="138" t="str">
        <f>IFERROR(__xludf.DUMMYFUNCTION("FILTER('All Competencies'!D:D,'All Competencies'!A:A=C1)"),"Managerial Levels")</f>
        <v>Managerial Levels</v>
      </c>
      <c r="F4" s="138" t="str">
        <f>IFERROR(__xludf.DUMMYFUNCTION("FILTER('All Competencies'!E:E,'All Competencies'!A:A=C1)"),"Levels")</f>
        <v>Levels</v>
      </c>
      <c r="G4" s="138" t="str">
        <f>IFERROR(__xludf.DUMMYFUNCTION("FILTER('All Competencies'!F:F,'All Competencies'!A:A=C1)"),"Duration
 HH:MM:SS")</f>
        <v>Duration
 HH:MM:SS</v>
      </c>
      <c r="H4" s="138" t="str">
        <f>IFERROR(__xludf.DUMMYFUNCTION("FILTER('All Competencies'!G:G,'All Competencies'!A:A=C1)"),"Learning Paths")</f>
        <v>Learning Paths</v>
      </c>
      <c r="I4" s="139"/>
      <c r="J4" s="137"/>
      <c r="K4" s="136"/>
      <c r="L4" s="138" t="str">
        <f>IFERROR(__xludf.DUMMYFUNCTION("FILTER('All Competencies'!B:B,'All Competencies'!A:A=L1)"),"Course IDs")</f>
        <v>Course IDs</v>
      </c>
      <c r="M4" s="138" t="str">
        <f>IFERROR(__xludf.DUMMYFUNCTION("FILTER('All Competencies'!C:C,'All Competencies'!A:A=L1)"),"Courses")</f>
        <v>Courses</v>
      </c>
      <c r="N4" s="138" t="str">
        <f>IFERROR(__xludf.DUMMYFUNCTION("FILTER('All Competencies'!D:D,'All Competencies'!A:A=L1)"),"Managerial Levels")</f>
        <v>Managerial Levels</v>
      </c>
      <c r="O4" s="138" t="str">
        <f>IFERROR(__xludf.DUMMYFUNCTION("FILTER('All Competencies'!E:E,'All Competencies'!A:A=L1)"),"Levels")</f>
        <v>Levels</v>
      </c>
      <c r="P4" s="138" t="str">
        <f>IFERROR(__xludf.DUMMYFUNCTION("FILTER('All Competencies'!F:F,'All Competencies'!A:A=L1)"),"Duration
 HH:MM:SS")</f>
        <v>Duration
 HH:MM:SS</v>
      </c>
      <c r="Q4" s="138" t="str">
        <f>IFERROR(__xludf.DUMMYFUNCTION("FILTER('All Competencies'!G:G,'All Competencies'!A:A=L1)"),"Learning Paths")</f>
        <v>Learning Paths</v>
      </c>
      <c r="R4" s="139"/>
      <c r="S4" s="136"/>
    </row>
    <row r="5" ht="33.75" customHeight="1">
      <c r="A5" s="140"/>
      <c r="B5" s="140"/>
      <c r="C5" s="141">
        <f>IFERROR(__xludf.DUMMYFUNCTION("""COMPUTED_VALUE"""),740417.0)</f>
        <v>740417</v>
      </c>
      <c r="D5" s="142" t="str">
        <f>IFERROR(__xludf.DUMMYFUNCTION("""COMPUTED_VALUE"""),"CMO Foundations: Measuring Marketing Effectiveness (ROI)")</f>
        <v>CMO Foundations: Measuring Marketing Effectiveness (ROI)</v>
      </c>
      <c r="E5" s="141" t="str">
        <f>IFERROR(__xludf.DUMMYFUNCTION("""COMPUTED_VALUE"""),"C-Suite")</f>
        <v>C-Suite</v>
      </c>
      <c r="F5" s="141" t="str">
        <f>IFERROR(__xludf.DUMMYFUNCTION("""COMPUTED_VALUE"""),"Beginner")</f>
        <v>Beginner</v>
      </c>
      <c r="G5" s="143">
        <f>IFERROR(__xludf.DUMMYFUNCTION("""COMPUTED_VALUE"""),0.030462962962962963)</f>
        <v>0.03046296296</v>
      </c>
      <c r="H5" s="144" t="str">
        <f>IFERROR(__xludf.DUMMYFUNCTION("""COMPUTED_VALUE"""),"Develop Critical-Thinking, Decision-Making, and Problem-Solving Skills ")</f>
        <v>Develop Critical-Thinking, Decision-Making, and Problem-Solving Skills </v>
      </c>
      <c r="I5" s="140"/>
      <c r="J5" s="140"/>
      <c r="K5" s="140"/>
      <c r="L5" s="141">
        <f>IFERROR(__xludf.DUMMYFUNCTION("""COMPUTED_VALUE"""),492724.0)</f>
        <v>492724</v>
      </c>
      <c r="M5" s="145" t="str">
        <f>IFERROR(__xludf.DUMMYFUNCTION("""COMPUTED_VALUE"""),"Service Innovation")</f>
        <v>Service Innovation</v>
      </c>
      <c r="N5" s="141" t="str">
        <f>IFERROR(__xludf.DUMMYFUNCTION("""COMPUTED_VALUE"""),"Senior Manager")</f>
        <v>Senior Manager</v>
      </c>
      <c r="O5" s="141" t="str">
        <f>IFERROR(__xludf.DUMMYFUNCTION("""COMPUTED_VALUE"""),"Advanced")</f>
        <v>Advanced</v>
      </c>
      <c r="P5" s="146">
        <f>IFERROR(__xludf.DUMMYFUNCTION("""COMPUTED_VALUE"""),0.04037037037037037)</f>
        <v>0.04037037037</v>
      </c>
      <c r="Q5" s="144" t="str">
        <f>IFERROR(__xludf.DUMMYFUNCTION("""COMPUTED_VALUE"""),"Become a Customer Service Manager")</f>
        <v>Become a Customer Service Manager</v>
      </c>
      <c r="R5" s="140"/>
      <c r="S5" s="140"/>
    </row>
    <row r="6" ht="33.75" customHeight="1">
      <c r="A6" s="140"/>
      <c r="B6" s="140"/>
      <c r="C6" s="147">
        <f>IFERROR(__xludf.DUMMYFUNCTION("""COMPUTED_VALUE"""),782126.0)</f>
        <v>782126</v>
      </c>
      <c r="D6" s="148" t="str">
        <f>IFERROR(__xludf.DUMMYFUNCTION("""COMPUTED_VALUE"""),"Reid Hoffman and Chris Yeh on Blitzscaling")</f>
        <v>Reid Hoffman and Chris Yeh on Blitzscaling</v>
      </c>
      <c r="E6" s="147" t="str">
        <f>IFERROR(__xludf.DUMMYFUNCTION("""COMPUTED_VALUE"""),"C-Suite")</f>
        <v>C-Suite</v>
      </c>
      <c r="F6" s="141" t="str">
        <f>IFERROR(__xludf.DUMMYFUNCTION("""COMPUTED_VALUE"""),"General")</f>
        <v>General</v>
      </c>
      <c r="G6" s="143">
        <f>IFERROR(__xludf.DUMMYFUNCTION("""COMPUTED_VALUE"""),0.012291666666666666)</f>
        <v>0.01229166667</v>
      </c>
      <c r="H6" s="149" t="str">
        <f>IFERROR(__xludf.DUMMYFUNCTION("""COMPUTED_VALUE"""),"Improve Your Organizational Skills")</f>
        <v>Improve Your Organizational Skills</v>
      </c>
      <c r="I6" s="140"/>
      <c r="J6" s="140"/>
      <c r="K6" s="140"/>
      <c r="L6" s="147">
        <f>IFERROR(__xludf.DUMMYFUNCTION("""COMPUTED_VALUE"""),2894004.0)</f>
        <v>2894004</v>
      </c>
      <c r="M6" s="150" t="str">
        <f>IFERROR(__xludf.DUMMYFUNCTION("""COMPUTED_VALUE"""),"Customer Experience Leadership")</f>
        <v>Customer Experience Leadership</v>
      </c>
      <c r="N6" s="147" t="str">
        <f>IFERROR(__xludf.DUMMYFUNCTION("""COMPUTED_VALUE"""),"Senior Manager")</f>
        <v>Senior Manager</v>
      </c>
      <c r="O6" s="141" t="str">
        <f>IFERROR(__xludf.DUMMYFUNCTION("""COMPUTED_VALUE"""),"Advanced")</f>
        <v>Advanced</v>
      </c>
      <c r="P6" s="146">
        <f>IFERROR(__xludf.DUMMYFUNCTION("""COMPUTED_VALUE"""),0.03351851851851852)</f>
        <v>0.03351851852</v>
      </c>
      <c r="Q6" s="149" t="str">
        <f>IFERROR(__xludf.DUMMYFUNCTION("""COMPUTED_VALUE"""),"Become a Customer Service Specialist")</f>
        <v>Become a Customer Service Specialist</v>
      </c>
      <c r="R6" s="140"/>
      <c r="S6" s="140"/>
    </row>
    <row r="7" ht="33.75" customHeight="1">
      <c r="A7" s="140"/>
      <c r="B7" s="140"/>
      <c r="C7" s="147">
        <f>IFERROR(__xludf.DUMMYFUNCTION("""COMPUTED_VALUE"""),3006555.0)</f>
        <v>3006555</v>
      </c>
      <c r="D7" s="148" t="str">
        <f>IFERROR(__xludf.DUMMYFUNCTION("""COMPUTED_VALUE"""),"Removing Noise and Bias from Strategic Decision-Making")</f>
        <v>Removing Noise and Bias from Strategic Decision-Making</v>
      </c>
      <c r="E7" s="147" t="str">
        <f>IFERROR(__xludf.DUMMYFUNCTION("""COMPUTED_VALUE"""),"Senior Manager")</f>
        <v>Senior Manager</v>
      </c>
      <c r="F7" s="141" t="str">
        <f>IFERROR(__xludf.DUMMYFUNCTION("""COMPUTED_VALUE"""),"Advanced")</f>
        <v>Advanced</v>
      </c>
      <c r="G7" s="143">
        <f>IFERROR(__xludf.DUMMYFUNCTION("""COMPUTED_VALUE"""),0.04493055555555556)</f>
        <v>0.04493055556</v>
      </c>
      <c r="H7" s="149" t="str">
        <f>IFERROR(__xludf.DUMMYFUNCTION("""COMPUTED_VALUE"""),"Improve Your Problem-Solving Skills")</f>
        <v>Improve Your Problem-Solving Skills</v>
      </c>
      <c r="I7" s="140"/>
      <c r="J7" s="140"/>
      <c r="K7" s="140"/>
      <c r="L7" s="147">
        <f>IFERROR(__xludf.DUMMYFUNCTION("""COMPUTED_VALUE"""),599600.0)</f>
        <v>599600</v>
      </c>
      <c r="M7" s="150" t="str">
        <f>IFERROR(__xludf.DUMMYFUNCTION("""COMPUTED_VALUE"""),"Creating a Culture of Privacy")</f>
        <v>Creating a Culture of Privacy</v>
      </c>
      <c r="N7" s="147" t="str">
        <f>IFERROR(__xludf.DUMMYFUNCTION("""COMPUTED_VALUE"""),"Senior Manager")</f>
        <v>Senior Manager</v>
      </c>
      <c r="O7" s="141" t="str">
        <f>IFERROR(__xludf.DUMMYFUNCTION("""COMPUTED_VALUE"""),"Intermediate")</f>
        <v>Intermediate</v>
      </c>
      <c r="P7" s="146">
        <f>IFERROR(__xludf.DUMMYFUNCTION("""COMPUTED_VALUE"""),0.03984953703703704)</f>
        <v>0.03984953704</v>
      </c>
      <c r="Q7" s="149" t="str">
        <f>IFERROR(__xludf.DUMMYFUNCTION("""COMPUTED_VALUE"""),"Become a Customer Support Specialist")</f>
        <v>Become a Customer Support Specialist</v>
      </c>
      <c r="R7" s="140"/>
      <c r="S7" s="140"/>
    </row>
    <row r="8" ht="33.75" customHeight="1">
      <c r="A8" s="140"/>
      <c r="B8" s="140"/>
      <c r="C8" s="147">
        <f>IFERROR(__xludf.DUMMYFUNCTION("""COMPUTED_VALUE"""),661749.0)</f>
        <v>661749</v>
      </c>
      <c r="D8" s="148" t="str">
        <f>IFERROR(__xludf.DUMMYFUNCTION("""COMPUTED_VALUE"""),"Learning Agility")</f>
        <v>Learning Agility</v>
      </c>
      <c r="E8" s="147" t="str">
        <f>IFERROR(__xludf.DUMMYFUNCTION("""COMPUTED_VALUE"""),"Senior Manager")</f>
        <v>Senior Manager</v>
      </c>
      <c r="F8" s="141" t="str">
        <f>IFERROR(__xludf.DUMMYFUNCTION("""COMPUTED_VALUE"""),"General")</f>
        <v>General</v>
      </c>
      <c r="G8" s="143">
        <f>IFERROR(__xludf.DUMMYFUNCTION("""COMPUTED_VALUE"""),0.02443287037037037)</f>
        <v>0.02443287037</v>
      </c>
      <c r="H8" s="149" t="str">
        <f>IFERROR(__xludf.DUMMYFUNCTION("""COMPUTED_VALUE"""),"Master In-Demand Professional Soft Skills")</f>
        <v>Master In-Demand Professional Soft Skills</v>
      </c>
      <c r="I8" s="140"/>
      <c r="J8" s="140"/>
      <c r="K8" s="140"/>
      <c r="L8" s="147">
        <f>IFERROR(__xludf.DUMMYFUNCTION("""COMPUTED_VALUE"""),2825603.0)</f>
        <v>2825603</v>
      </c>
      <c r="M8" s="150" t="str">
        <f>IFERROR(__xludf.DUMMYFUNCTION("""COMPUTED_VALUE"""),"Business Fundamentals for Customer Success Managers")</f>
        <v>Business Fundamentals for Customer Success Managers</v>
      </c>
      <c r="N8" s="147" t="str">
        <f>IFERROR(__xludf.DUMMYFUNCTION("""COMPUTED_VALUE"""),"Manager")</f>
        <v>Manager</v>
      </c>
      <c r="O8" s="141" t="str">
        <f>IFERROR(__xludf.DUMMYFUNCTION("""COMPUTED_VALUE"""),"Beginner")</f>
        <v>Beginner</v>
      </c>
      <c r="P8" s="146">
        <f>IFERROR(__xludf.DUMMYFUNCTION("""COMPUTED_VALUE"""),0.04846064814814815)</f>
        <v>0.04846064815</v>
      </c>
      <c r="Q8" s="149" t="str">
        <f>IFERROR(__xludf.DUMMYFUNCTION("""COMPUTED_VALUE"""),"Develop Your Customer Service Skills ")</f>
        <v>Develop Your Customer Service Skills </v>
      </c>
      <c r="R8" s="140"/>
      <c r="S8" s="140"/>
    </row>
    <row r="9" ht="33.75" customHeight="1">
      <c r="A9" s="140"/>
      <c r="B9" s="140"/>
      <c r="C9" s="147">
        <f>IFERROR(__xludf.DUMMYFUNCTION("""COMPUTED_VALUE"""),373992.0)</f>
        <v>373992</v>
      </c>
      <c r="D9" s="148" t="str">
        <f>IFERROR(__xludf.DUMMYFUNCTION("""COMPUTED_VALUE"""),"Executive Decision-Making")</f>
        <v>Executive Decision-Making</v>
      </c>
      <c r="E9" s="147" t="str">
        <f>IFERROR(__xludf.DUMMYFUNCTION("""COMPUTED_VALUE"""),"Senior Manager")</f>
        <v>Senior Manager</v>
      </c>
      <c r="F9" s="141" t="str">
        <f>IFERROR(__xludf.DUMMYFUNCTION("""COMPUTED_VALUE"""),"Intermediate")</f>
        <v>Intermediate</v>
      </c>
      <c r="G9" s="143">
        <f>IFERROR(__xludf.DUMMYFUNCTION("""COMPUTED_VALUE"""),0.03484953703703704)</f>
        <v>0.03484953704</v>
      </c>
      <c r="H9" s="151"/>
      <c r="I9" s="140"/>
      <c r="J9" s="140"/>
      <c r="K9" s="140"/>
      <c r="L9" s="147">
        <f>IFERROR(__xludf.DUMMYFUNCTION("""COMPUTED_VALUE"""),667357.0)</f>
        <v>667357</v>
      </c>
      <c r="M9" s="148" t="str">
        <f>IFERROR(__xludf.DUMMYFUNCTION("""COMPUTED_VALUE"""),"Customer Service: Preventing Turnover")</f>
        <v>Customer Service: Preventing Turnover</v>
      </c>
      <c r="N9" s="147" t="str">
        <f>IFERROR(__xludf.DUMMYFUNCTION("""COMPUTED_VALUE"""),"Manager")</f>
        <v>Manager</v>
      </c>
      <c r="O9" s="141" t="str">
        <f>IFERROR(__xludf.DUMMYFUNCTION("""COMPUTED_VALUE"""),"Intermediate")</f>
        <v>Intermediate</v>
      </c>
      <c r="P9" s="143">
        <f>IFERROR(__xludf.DUMMYFUNCTION("""COMPUTED_VALUE"""),0.02423611111111111)</f>
        <v>0.02423611111</v>
      </c>
      <c r="Q9" s="151"/>
      <c r="R9" s="140"/>
      <c r="S9" s="140"/>
    </row>
    <row r="10" ht="33.75" customHeight="1">
      <c r="A10" s="140"/>
      <c r="B10" s="140"/>
      <c r="C10" s="147">
        <f>IFERROR(__xludf.DUMMYFUNCTION("""COMPUTED_VALUE"""),5015873.0)</f>
        <v>5015873</v>
      </c>
      <c r="D10" s="148" t="str">
        <f>IFERROR(__xludf.DUMMYFUNCTION("""COMPUTED_VALUE"""),"Start with Why: How Great Leaders Inspire Everyone to Take Action (Blinkist Summary)")</f>
        <v>Start with Why: How Great Leaders Inspire Everyone to Take Action (Blinkist Summary)</v>
      </c>
      <c r="E10" s="147" t="str">
        <f>IFERROR(__xludf.DUMMYFUNCTION("""COMPUTED_VALUE"""),"Senior Manager")</f>
        <v>Senior Manager</v>
      </c>
      <c r="F10" s="141" t="str">
        <f>IFERROR(__xludf.DUMMYFUNCTION("""COMPUTED_VALUE"""),"Intermediate")</f>
        <v>Intermediate</v>
      </c>
      <c r="G10" s="143">
        <f>IFERROR(__xludf.DUMMYFUNCTION("""COMPUTED_VALUE"""),0.0096875)</f>
        <v>0.0096875</v>
      </c>
      <c r="H10" s="152"/>
      <c r="I10" s="140"/>
      <c r="J10" s="140"/>
      <c r="K10" s="140"/>
      <c r="L10" s="147">
        <f>IFERROR(__xludf.DUMMYFUNCTION("""COMPUTED_VALUE"""),2874285.0)</f>
        <v>2874285</v>
      </c>
      <c r="M10" s="148" t="str">
        <f>IFERROR(__xludf.DUMMYFUNCTION("""COMPUTED_VALUE"""),"Creating a Positive Customer Experience")</f>
        <v>Creating a Positive Customer Experience</v>
      </c>
      <c r="N10" s="147" t="str">
        <f>IFERROR(__xludf.DUMMYFUNCTION("""COMPUTED_VALUE"""),"Manager")</f>
        <v>Manager</v>
      </c>
      <c r="O10" s="141" t="str">
        <f>IFERROR(__xludf.DUMMYFUNCTION("""COMPUTED_VALUE"""),"Intermediate")</f>
        <v>Intermediate</v>
      </c>
      <c r="P10" s="143">
        <f>IFERROR(__xludf.DUMMYFUNCTION("""COMPUTED_VALUE"""),0.039699074074074074)</f>
        <v>0.03969907407</v>
      </c>
      <c r="Q10" s="152"/>
      <c r="R10" s="140"/>
      <c r="S10" s="140"/>
    </row>
    <row r="11" ht="33.75" customHeight="1">
      <c r="A11" s="140"/>
      <c r="B11" s="140"/>
      <c r="C11" s="147">
        <f>IFERROR(__xludf.DUMMYFUNCTION("""COMPUTED_VALUE"""),2881075.0)</f>
        <v>2881075</v>
      </c>
      <c r="D11" s="148" t="str">
        <f>IFERROR(__xludf.DUMMYFUNCTION("""COMPUTED_VALUE"""),"Critical Thinking for More Effective Communication")</f>
        <v>Critical Thinking for More Effective Communication</v>
      </c>
      <c r="E11" s="147" t="str">
        <f>IFERROR(__xludf.DUMMYFUNCTION("""COMPUTED_VALUE"""),"Manager")</f>
        <v>Manager</v>
      </c>
      <c r="F11" s="141" t="str">
        <f>IFERROR(__xludf.DUMMYFUNCTION("""COMPUTED_VALUE"""),"Advanced")</f>
        <v>Advanced</v>
      </c>
      <c r="G11" s="143">
        <f>IFERROR(__xludf.DUMMYFUNCTION("""COMPUTED_VALUE"""),0.032060185185185185)</f>
        <v>0.03206018519</v>
      </c>
      <c r="H11" s="151"/>
      <c r="I11" s="140"/>
      <c r="J11" s="140"/>
      <c r="K11" s="140"/>
      <c r="L11" s="147">
        <f>IFERROR(__xludf.DUMMYFUNCTION("""COMPUTED_VALUE"""),3007729.0)</f>
        <v>3007729</v>
      </c>
      <c r="M11" s="148" t="str">
        <f>IFERROR(__xludf.DUMMYFUNCTION("""COMPUTED_VALUE"""),"Customer Experience: Creating Customer Personas")</f>
        <v>Customer Experience: Creating Customer Personas</v>
      </c>
      <c r="N11" s="147" t="str">
        <f>IFERROR(__xludf.DUMMYFUNCTION("""COMPUTED_VALUE"""),"Manager")</f>
        <v>Manager</v>
      </c>
      <c r="O11" s="141" t="str">
        <f>IFERROR(__xludf.DUMMYFUNCTION("""COMPUTED_VALUE"""),"Intermediate")</f>
        <v>Intermediate</v>
      </c>
      <c r="P11" s="143">
        <f>IFERROR(__xludf.DUMMYFUNCTION("""COMPUTED_VALUE"""),0.015092592592592593)</f>
        <v>0.01509259259</v>
      </c>
      <c r="Q11" s="151"/>
      <c r="R11" s="140"/>
      <c r="S11" s="140"/>
    </row>
    <row r="12" ht="33.75" customHeight="1">
      <c r="A12" s="140"/>
      <c r="B12" s="140"/>
      <c r="C12" s="147">
        <f>IFERROR(__xludf.DUMMYFUNCTION("""COMPUTED_VALUE"""),2890118.0)</f>
        <v>2890118</v>
      </c>
      <c r="D12" s="148" t="str">
        <f>IFERROR(__xludf.DUMMYFUNCTION("""COMPUTED_VALUE"""),"Overcoming Decision-Making Traps")</f>
        <v>Overcoming Decision-Making Traps</v>
      </c>
      <c r="E12" s="147" t="str">
        <f>IFERROR(__xludf.DUMMYFUNCTION("""COMPUTED_VALUE"""),"Manager")</f>
        <v>Manager</v>
      </c>
      <c r="F12" s="141" t="str">
        <f>IFERROR(__xludf.DUMMYFUNCTION("""COMPUTED_VALUE"""),"Beginner")</f>
        <v>Beginner</v>
      </c>
      <c r="G12" s="143">
        <f>IFERROR(__xludf.DUMMYFUNCTION("""COMPUTED_VALUE"""),0.042638888888888886)</f>
        <v>0.04263888889</v>
      </c>
      <c r="H12" s="151"/>
      <c r="I12" s="140"/>
      <c r="J12" s="140"/>
      <c r="K12" s="140"/>
      <c r="L12" s="147">
        <f>IFERROR(__xludf.DUMMYFUNCTION("""COMPUTED_VALUE"""),2841603.0)</f>
        <v>2841603</v>
      </c>
      <c r="M12" s="148" t="str">
        <f>IFERROR(__xludf.DUMMYFUNCTION("""COMPUTED_VALUE"""),"Customer Service and Support During Economic Downturns")</f>
        <v>Customer Service and Support During Economic Downturns</v>
      </c>
      <c r="N12" s="147" t="str">
        <f>IFERROR(__xludf.DUMMYFUNCTION("""COMPUTED_VALUE"""),"Individual Contributor")</f>
        <v>Individual Contributor</v>
      </c>
      <c r="O12" s="141" t="str">
        <f>IFERROR(__xludf.DUMMYFUNCTION("""COMPUTED_VALUE"""),"Beginner")</f>
        <v>Beginner</v>
      </c>
      <c r="P12" s="143">
        <f>IFERROR(__xludf.DUMMYFUNCTION("""COMPUTED_VALUE"""),0.025185185185185185)</f>
        <v>0.02518518519</v>
      </c>
      <c r="Q12" s="151"/>
      <c r="R12" s="140"/>
      <c r="S12" s="140"/>
    </row>
    <row r="13" ht="33.75" customHeight="1">
      <c r="A13" s="140"/>
      <c r="B13" s="140"/>
      <c r="C13" s="147">
        <f>IFERROR(__xludf.DUMMYFUNCTION("""COMPUTED_VALUE"""),2883063.0)</f>
        <v>2883063</v>
      </c>
      <c r="D13" s="148" t="str">
        <f>IFERROR(__xludf.DUMMYFUNCTION("""COMPUTED_VALUE"""),"Developing a Critical Thinking Mindset")</f>
        <v>Developing a Critical Thinking Mindset</v>
      </c>
      <c r="E13" s="147" t="str">
        <f>IFERROR(__xludf.DUMMYFUNCTION("""COMPUTED_VALUE"""),"Manager")</f>
        <v>Manager</v>
      </c>
      <c r="F13" s="141" t="str">
        <f>IFERROR(__xludf.DUMMYFUNCTION("""COMPUTED_VALUE"""),"Intermediate")</f>
        <v>Intermediate</v>
      </c>
      <c r="G13" s="143">
        <f>IFERROR(__xludf.DUMMYFUNCTION("""COMPUTED_VALUE"""),0.040775462962962965)</f>
        <v>0.04077546296</v>
      </c>
      <c r="H13" s="152"/>
      <c r="I13" s="140"/>
      <c r="J13" s="140"/>
      <c r="K13" s="140"/>
      <c r="L13" s="147">
        <f>IFERROR(__xludf.DUMMYFUNCTION("""COMPUTED_VALUE"""),2890000.0)</f>
        <v>2890000</v>
      </c>
      <c r="M13" s="148" t="str">
        <f>IFERROR(__xludf.DUMMYFUNCTION("""COMPUTED_VALUE"""),"Serving Customers in a Continuously Changing World")</f>
        <v>Serving Customers in a Continuously Changing World</v>
      </c>
      <c r="N13" s="147" t="str">
        <f>IFERROR(__xludf.DUMMYFUNCTION("""COMPUTED_VALUE"""),"Individual Contributor")</f>
        <v>Individual Contributor</v>
      </c>
      <c r="O13" s="141" t="str">
        <f>IFERROR(__xludf.DUMMYFUNCTION("""COMPUTED_VALUE"""),"Beginner")</f>
        <v>Beginner</v>
      </c>
      <c r="P13" s="143">
        <f>IFERROR(__xludf.DUMMYFUNCTION("""COMPUTED_VALUE"""),0.02263888888888889)</f>
        <v>0.02263888889</v>
      </c>
      <c r="Q13" s="152"/>
      <c r="R13" s="140"/>
      <c r="S13" s="140"/>
    </row>
    <row r="14" ht="33.75" customHeight="1">
      <c r="A14" s="140"/>
      <c r="B14" s="140"/>
      <c r="C14" s="147">
        <f>IFERROR(__xludf.DUMMYFUNCTION("""COMPUTED_VALUE"""),685022.0)</f>
        <v>685022</v>
      </c>
      <c r="D14" s="148" t="str">
        <f>IFERROR(__xludf.DUMMYFUNCTION("""COMPUTED_VALUE"""),"Using Questions to Foster Critical Thinking and Curiosity")</f>
        <v>Using Questions to Foster Critical Thinking and Curiosity</v>
      </c>
      <c r="E14" s="147" t="str">
        <f>IFERROR(__xludf.DUMMYFUNCTION("""COMPUTED_VALUE"""),"Manager")</f>
        <v>Manager</v>
      </c>
      <c r="F14" s="141" t="str">
        <f>IFERROR(__xludf.DUMMYFUNCTION("""COMPUTED_VALUE"""),"Intermediate")</f>
        <v>Intermediate</v>
      </c>
      <c r="G14" s="143">
        <f>IFERROR(__xludf.DUMMYFUNCTION("""COMPUTED_VALUE"""),0.02158564814814815)</f>
        <v>0.02158564815</v>
      </c>
      <c r="H14" s="151"/>
      <c r="I14" s="140"/>
      <c r="J14" s="140"/>
      <c r="K14" s="140"/>
      <c r="L14" s="147">
        <f>IFERROR(__xludf.DUMMYFUNCTION("""COMPUTED_VALUE"""),3004861.0)</f>
        <v>3004861</v>
      </c>
      <c r="M14" s="148" t="str">
        <f>IFERROR(__xludf.DUMMYFUNCTION("""COMPUTED_VALUE"""),"Creating Positive Conversations with Challenging Customers")</f>
        <v>Creating Positive Conversations with Challenging Customers</v>
      </c>
      <c r="N14" s="147" t="str">
        <f>IFERROR(__xludf.DUMMYFUNCTION("""COMPUTED_VALUE"""),"Individual Contributor")</f>
        <v>Individual Contributor</v>
      </c>
      <c r="O14" s="141" t="str">
        <f>IFERROR(__xludf.DUMMYFUNCTION("""COMPUTED_VALUE"""),"Intermediate")</f>
        <v>Intermediate</v>
      </c>
      <c r="P14" s="143">
        <f>IFERROR(__xludf.DUMMYFUNCTION("""COMPUTED_VALUE"""),0.021041666666666667)</f>
        <v>0.02104166667</v>
      </c>
      <c r="Q14" s="151"/>
      <c r="R14" s="140"/>
      <c r="S14" s="140"/>
    </row>
    <row r="15" ht="33.75" customHeight="1">
      <c r="A15" s="140"/>
      <c r="B15" s="140"/>
      <c r="C15" s="147">
        <f>IFERROR(__xludf.DUMMYFUNCTION("""COMPUTED_VALUE"""),2833051.0)</f>
        <v>2833051</v>
      </c>
      <c r="D15" s="148" t="str">
        <f>IFERROR(__xludf.DUMMYFUNCTION("""COMPUTED_VALUE"""),"Making Key Decisions as a Manager")</f>
        <v>Making Key Decisions as a Manager</v>
      </c>
      <c r="E15" s="147" t="str">
        <f>IFERROR(__xludf.DUMMYFUNCTION("""COMPUTED_VALUE"""),"Manager")</f>
        <v>Manager</v>
      </c>
      <c r="F15" s="141" t="str">
        <f>IFERROR(__xludf.DUMMYFUNCTION("""COMPUTED_VALUE"""),"Intermediate")</f>
        <v>Intermediate</v>
      </c>
      <c r="G15" s="143">
        <f>IFERROR(__xludf.DUMMYFUNCTION("""COMPUTED_VALUE"""),0.02175925925925926)</f>
        <v>0.02175925926</v>
      </c>
      <c r="H15" s="151"/>
      <c r="I15" s="140"/>
      <c r="J15" s="140"/>
      <c r="K15" s="140"/>
      <c r="L15" s="147">
        <f>IFERROR(__xludf.DUMMYFUNCTION("""COMPUTED_VALUE"""),2802030.0)</f>
        <v>2802030</v>
      </c>
      <c r="M15" s="148" t="str">
        <f>IFERROR(__xludf.DUMMYFUNCTION("""COMPUTED_VALUE"""),"Calculating the Value and ROI of Customer Service")</f>
        <v>Calculating the Value and ROI of Customer Service</v>
      </c>
      <c r="N15" s="147" t="str">
        <f>IFERROR(__xludf.DUMMYFUNCTION("""COMPUTED_VALUE"""),"General")</f>
        <v>General</v>
      </c>
      <c r="O15" s="141" t="str">
        <f>IFERROR(__xludf.DUMMYFUNCTION("""COMPUTED_VALUE"""),"Advanced")</f>
        <v>Advanced</v>
      </c>
      <c r="P15" s="143">
        <f>IFERROR(__xludf.DUMMYFUNCTION("""COMPUTED_VALUE"""),0.050138888888888886)</f>
        <v>0.05013888889</v>
      </c>
      <c r="Q15" s="151"/>
      <c r="R15" s="140"/>
      <c r="S15" s="140"/>
    </row>
    <row r="16" ht="33.75" customHeight="1">
      <c r="A16" s="140"/>
      <c r="B16" s="140"/>
      <c r="C16" s="147">
        <f>IFERROR(__xludf.DUMMYFUNCTION("""COMPUTED_VALUE"""),778180.0)</f>
        <v>778180</v>
      </c>
      <c r="D16" s="148" t="str">
        <f>IFERROR(__xludf.DUMMYFUNCTION("""COMPUTED_VALUE"""),"Leading with Intelligent Disobedience")</f>
        <v>Leading with Intelligent Disobedience</v>
      </c>
      <c r="E16" s="147" t="str">
        <f>IFERROR(__xludf.DUMMYFUNCTION("""COMPUTED_VALUE"""),"Manager")</f>
        <v>Manager</v>
      </c>
      <c r="F16" s="141" t="str">
        <f>IFERROR(__xludf.DUMMYFUNCTION("""COMPUTED_VALUE"""),"Intermediate")</f>
        <v>Intermediate</v>
      </c>
      <c r="G16" s="143">
        <f>IFERROR(__xludf.DUMMYFUNCTION("""COMPUTED_VALUE"""),0.023703703703703703)</f>
        <v>0.0237037037</v>
      </c>
      <c r="H16" s="151"/>
      <c r="I16" s="140"/>
      <c r="J16" s="140"/>
      <c r="K16" s="140"/>
      <c r="L16" s="147">
        <f>IFERROR(__xludf.DUMMYFUNCTION("""COMPUTED_VALUE"""),2804059.0)</f>
        <v>2804059</v>
      </c>
      <c r="M16" s="148" t="str">
        <f>IFERROR(__xludf.DUMMYFUNCTION("""COMPUTED_VALUE"""),"Winning Back a Lost Customer")</f>
        <v>Winning Back a Lost Customer</v>
      </c>
      <c r="N16" s="147" t="str">
        <f>IFERROR(__xludf.DUMMYFUNCTION("""COMPUTED_VALUE"""),"General")</f>
        <v>General</v>
      </c>
      <c r="O16" s="141" t="str">
        <f>IFERROR(__xludf.DUMMYFUNCTION("""COMPUTED_VALUE"""),"Advanced")</f>
        <v>Advanced</v>
      </c>
      <c r="P16" s="143">
        <f>IFERROR(__xludf.DUMMYFUNCTION("""COMPUTED_VALUE"""),0.019479166666666665)</f>
        <v>0.01947916667</v>
      </c>
      <c r="Q16" s="151"/>
      <c r="R16" s="140"/>
      <c r="S16" s="140"/>
    </row>
    <row r="17" ht="33.75" customHeight="1">
      <c r="A17" s="140"/>
      <c r="B17" s="140"/>
      <c r="C17" s="147">
        <f>IFERROR(__xludf.DUMMYFUNCTION("""COMPUTED_VALUE"""),3156782.0)</f>
        <v>3156782</v>
      </c>
      <c r="D17" s="148" t="str">
        <f>IFERROR(__xludf.DUMMYFUNCTION("""COMPUTED_VALUE"""),"Crafting Questions to Make Better Decisions")</f>
        <v>Crafting Questions to Make Better Decisions</v>
      </c>
      <c r="E17" s="147" t="str">
        <f>IFERROR(__xludf.DUMMYFUNCTION("""COMPUTED_VALUE"""),"Manager")</f>
        <v>Manager</v>
      </c>
      <c r="F17" s="141" t="str">
        <f>IFERROR(__xludf.DUMMYFUNCTION("""COMPUTED_VALUE"""),"Intermediate")</f>
        <v>Intermediate</v>
      </c>
      <c r="G17" s="143">
        <f>IFERROR(__xludf.DUMMYFUNCTION("""COMPUTED_VALUE"""),0.023773148148148147)</f>
        <v>0.02377314815</v>
      </c>
      <c r="H17" s="151"/>
      <c r="I17" s="140"/>
      <c r="J17" s="140"/>
      <c r="K17" s="140"/>
      <c r="L17" s="147">
        <f>IFERROR(__xludf.DUMMYFUNCTION("""COMPUTED_VALUE"""),2819182.0)</f>
        <v>2819182</v>
      </c>
      <c r="M17" s="148" t="str">
        <f>IFERROR(__xludf.DUMMYFUNCTION("""COMPUTED_VALUE"""),"Journey Mapping: Case Study in Action")</f>
        <v>Journey Mapping: Case Study in Action</v>
      </c>
      <c r="N17" s="147" t="str">
        <f>IFERROR(__xludf.DUMMYFUNCTION("""COMPUTED_VALUE"""),"General")</f>
        <v>General</v>
      </c>
      <c r="O17" s="141" t="str">
        <f>IFERROR(__xludf.DUMMYFUNCTION("""COMPUTED_VALUE"""),"Advanced")</f>
        <v>Advanced</v>
      </c>
      <c r="P17" s="143">
        <f>IFERROR(__xludf.DUMMYFUNCTION("""COMPUTED_VALUE"""),0.03276620370370371)</f>
        <v>0.0327662037</v>
      </c>
      <c r="Q17" s="151"/>
      <c r="R17" s="140"/>
      <c r="S17" s="140"/>
    </row>
    <row r="18" ht="33.75" customHeight="1">
      <c r="A18" s="140"/>
      <c r="B18" s="140"/>
      <c r="C18" s="147">
        <f>IFERROR(__xludf.DUMMYFUNCTION("""COMPUTED_VALUE"""),3000781.0)</f>
        <v>3000781</v>
      </c>
      <c r="D18" s="148" t="str">
        <f>IFERROR(__xludf.DUMMYFUNCTION("""COMPUTED_VALUE"""),"The Secret to Better Decisions: Stop Hoarding Chips")</f>
        <v>The Secret to Better Decisions: Stop Hoarding Chips</v>
      </c>
      <c r="E18" s="147" t="str">
        <f>IFERROR(__xludf.DUMMYFUNCTION("""COMPUTED_VALUE"""),"Manager")</f>
        <v>Manager</v>
      </c>
      <c r="F18" s="141" t="str">
        <f>IFERROR(__xludf.DUMMYFUNCTION("""COMPUTED_VALUE"""),"General")</f>
        <v>General</v>
      </c>
      <c r="G18" s="143">
        <f>IFERROR(__xludf.DUMMYFUNCTION("""COMPUTED_VALUE"""),0.033136574074074075)</f>
        <v>0.03313657407</v>
      </c>
      <c r="H18" s="151"/>
      <c r="I18" s="140"/>
      <c r="J18" s="140"/>
      <c r="K18" s="140"/>
      <c r="L18" s="147">
        <f>IFERROR(__xludf.DUMMYFUNCTION("""COMPUTED_VALUE"""),2831003.0)</f>
        <v>2831003</v>
      </c>
      <c r="M18" s="148" t="str">
        <f>IFERROR(__xludf.DUMMYFUNCTION("""COMPUTED_VALUE"""),"Customer Service: Creating Customer Value")</f>
        <v>Customer Service: Creating Customer Value</v>
      </c>
      <c r="N18" s="147" t="str">
        <f>IFERROR(__xludf.DUMMYFUNCTION("""COMPUTED_VALUE"""),"General")</f>
        <v>General</v>
      </c>
      <c r="O18" s="141" t="str">
        <f>IFERROR(__xludf.DUMMYFUNCTION("""COMPUTED_VALUE"""),"Advanced")</f>
        <v>Advanced</v>
      </c>
      <c r="P18" s="143">
        <f>IFERROR(__xludf.DUMMYFUNCTION("""COMPUTED_VALUE"""),0.022708333333333334)</f>
        <v>0.02270833333</v>
      </c>
      <c r="Q18" s="151"/>
      <c r="R18" s="140"/>
      <c r="S18" s="140"/>
    </row>
    <row r="19" ht="33.75" customHeight="1">
      <c r="A19" s="140"/>
      <c r="B19" s="140"/>
      <c r="C19" s="147">
        <f>IFERROR(__xludf.DUMMYFUNCTION("""COMPUTED_VALUE"""),2813143.0)</f>
        <v>2813143</v>
      </c>
      <c r="D19" s="148" t="str">
        <f>IFERROR(__xludf.DUMMYFUNCTION("""COMPUTED_VALUE"""),"Critical Thinking for Better Judgment and Decision-Making")</f>
        <v>Critical Thinking for Better Judgment and Decision-Making</v>
      </c>
      <c r="E19" s="147" t="str">
        <f>IFERROR(__xludf.DUMMYFUNCTION("""COMPUTED_VALUE"""),"General")</f>
        <v>General</v>
      </c>
      <c r="F19" s="141" t="str">
        <f>IFERROR(__xludf.DUMMYFUNCTION("""COMPUTED_VALUE"""),"Advanced")</f>
        <v>Advanced</v>
      </c>
      <c r="G19" s="143">
        <f>IFERROR(__xludf.DUMMYFUNCTION("""COMPUTED_VALUE"""),0.039456018518518515)</f>
        <v>0.03945601852</v>
      </c>
      <c r="H19" s="151"/>
      <c r="I19" s="140"/>
      <c r="J19" s="140"/>
      <c r="K19" s="140"/>
      <c r="L19" s="147">
        <f>IFERROR(__xludf.DUMMYFUNCTION("""COMPUTED_VALUE"""),2829005.0)</f>
        <v>2829005</v>
      </c>
      <c r="M19" s="148" t="str">
        <f>IFERROR(__xludf.DUMMYFUNCTION("""COMPUTED_VALUE"""),"Using Assessments to Hire Customer Service Reps")</f>
        <v>Using Assessments to Hire Customer Service Reps</v>
      </c>
      <c r="N19" s="147" t="str">
        <f>IFERROR(__xludf.DUMMYFUNCTION("""COMPUTED_VALUE"""),"General")</f>
        <v>General</v>
      </c>
      <c r="O19" s="141" t="str">
        <f>IFERROR(__xludf.DUMMYFUNCTION("""COMPUTED_VALUE"""),"Advanced")</f>
        <v>Advanced</v>
      </c>
      <c r="P19" s="143">
        <f>IFERROR(__xludf.DUMMYFUNCTION("""COMPUTED_VALUE"""),0.024479166666666666)</f>
        <v>0.02447916667</v>
      </c>
      <c r="Q19" s="151"/>
      <c r="R19" s="140"/>
      <c r="S19" s="140"/>
    </row>
    <row r="20" ht="33.75" customHeight="1">
      <c r="A20" s="140"/>
      <c r="B20" s="140"/>
      <c r="C20" s="147">
        <f>IFERROR(__xludf.DUMMYFUNCTION("""COMPUTED_VALUE"""),2851002.0)</f>
        <v>2851002</v>
      </c>
      <c r="D20" s="148" t="str">
        <f>IFERROR(__xludf.DUMMYFUNCTION("""COMPUTED_VALUE"""),"Privacy in the New World of Work")</f>
        <v>Privacy in the New World of Work</v>
      </c>
      <c r="E20" s="147" t="str">
        <f>IFERROR(__xludf.DUMMYFUNCTION("""COMPUTED_VALUE"""),"General")</f>
        <v>General</v>
      </c>
      <c r="F20" s="141" t="str">
        <f>IFERROR(__xludf.DUMMYFUNCTION("""COMPUTED_VALUE"""),"Advanced")</f>
        <v>Advanced</v>
      </c>
      <c r="G20" s="143">
        <f>IFERROR(__xludf.DUMMYFUNCTION("""COMPUTED_VALUE"""),0.01866898148148148)</f>
        <v>0.01866898148</v>
      </c>
      <c r="H20" s="151"/>
      <c r="I20" s="140"/>
      <c r="J20" s="140"/>
      <c r="K20" s="140"/>
      <c r="L20" s="147">
        <f>IFERROR(__xludf.DUMMYFUNCTION("""COMPUTED_VALUE"""),2832002.0)</f>
        <v>2832002</v>
      </c>
      <c r="M20" s="148" t="str">
        <f>IFERROR(__xludf.DUMMYFUNCTION("""COMPUTED_VALUE"""),"Talking to Customers")</f>
        <v>Talking to Customers</v>
      </c>
      <c r="N20" s="147" t="str">
        <f>IFERROR(__xludf.DUMMYFUNCTION("""COMPUTED_VALUE"""),"General")</f>
        <v>General</v>
      </c>
      <c r="O20" s="141" t="str">
        <f>IFERROR(__xludf.DUMMYFUNCTION("""COMPUTED_VALUE"""),"Beginner")</f>
        <v>Beginner</v>
      </c>
      <c r="P20" s="143">
        <f>IFERROR(__xludf.DUMMYFUNCTION("""COMPUTED_VALUE"""),0.02277777777777778)</f>
        <v>0.02277777778</v>
      </c>
      <c r="Q20" s="151"/>
      <c r="R20" s="140"/>
      <c r="S20" s="140"/>
    </row>
    <row r="21" ht="33.75" customHeight="1">
      <c r="A21" s="140"/>
      <c r="B21" s="140"/>
      <c r="C21" s="147">
        <f>IFERROR(__xludf.DUMMYFUNCTION("""COMPUTED_VALUE"""),661751.0)</f>
        <v>661751</v>
      </c>
      <c r="D21" s="148" t="str">
        <f>IFERROR(__xludf.DUMMYFUNCTION("""COMPUTED_VALUE"""),"Developing a Learning Mindset")</f>
        <v>Developing a Learning Mindset</v>
      </c>
      <c r="E21" s="147" t="str">
        <f>IFERROR(__xludf.DUMMYFUNCTION("""COMPUTED_VALUE"""),"General")</f>
        <v>General</v>
      </c>
      <c r="F21" s="141" t="str">
        <f>IFERROR(__xludf.DUMMYFUNCTION("""COMPUTED_VALUE"""),"Beginner")</f>
        <v>Beginner</v>
      </c>
      <c r="G21" s="143">
        <f>IFERROR(__xludf.DUMMYFUNCTION("""COMPUTED_VALUE"""),0.021296296296296296)</f>
        <v>0.0212962963</v>
      </c>
      <c r="H21" s="151"/>
      <c r="I21" s="140"/>
      <c r="J21" s="140"/>
      <c r="K21" s="140"/>
      <c r="L21" s="147">
        <f>IFERROR(__xludf.DUMMYFUNCTION("""COMPUTED_VALUE"""),693076.0)</f>
        <v>693076</v>
      </c>
      <c r="M21" s="148" t="str">
        <f>IFERROR(__xludf.DUMMYFUNCTION("""COMPUTED_VALUE"""),"Customer Service Foundations")</f>
        <v>Customer Service Foundations</v>
      </c>
      <c r="N21" s="147" t="str">
        <f>IFERROR(__xludf.DUMMYFUNCTION("""COMPUTED_VALUE"""),"General")</f>
        <v>General</v>
      </c>
      <c r="O21" s="141" t="str">
        <f>IFERROR(__xludf.DUMMYFUNCTION("""COMPUTED_VALUE"""),"Beginner")</f>
        <v>Beginner</v>
      </c>
      <c r="P21" s="143">
        <f>IFERROR(__xludf.DUMMYFUNCTION("""COMPUTED_VALUE"""),0.05734953703703704)</f>
        <v>0.05734953704</v>
      </c>
      <c r="Q21" s="151"/>
      <c r="R21" s="140"/>
      <c r="S21" s="140"/>
    </row>
    <row r="22" ht="33.75" customHeight="1">
      <c r="A22" s="140"/>
      <c r="B22" s="140"/>
      <c r="C22" s="147">
        <f>IFERROR(__xludf.DUMMYFUNCTION("""COMPUTED_VALUE"""),114903.0)</f>
        <v>114903</v>
      </c>
      <c r="D22" s="148" t="str">
        <f>IFERROR(__xludf.DUMMYFUNCTION("""COMPUTED_VALUE"""),"Monday Productivity Pointers")</f>
        <v>Monday Productivity Pointers</v>
      </c>
      <c r="E22" s="147" t="str">
        <f>IFERROR(__xludf.DUMMYFUNCTION("""COMPUTED_VALUE"""),"General")</f>
        <v>General</v>
      </c>
      <c r="F22" s="141" t="str">
        <f>IFERROR(__xludf.DUMMYFUNCTION("""COMPUTED_VALUE"""),"Beginner")</f>
        <v>Beginner</v>
      </c>
      <c r="G22" s="143">
        <f>IFERROR(__xludf.DUMMYFUNCTION("""COMPUTED_VALUE"""),0.4404398148148148)</f>
        <v>0.4404398148</v>
      </c>
      <c r="H22" s="151"/>
      <c r="I22" s="140"/>
      <c r="J22" s="140"/>
      <c r="K22" s="140"/>
      <c r="L22" s="147">
        <f>IFERROR(__xludf.DUMMYFUNCTION("""COMPUTED_VALUE"""),604223.0)</f>
        <v>604223</v>
      </c>
      <c r="M22" s="148" t="str">
        <f>IFERROR(__xludf.DUMMYFUNCTION("""COMPUTED_VALUE"""),"Delivering Bad News to a Customer")</f>
        <v>Delivering Bad News to a Customer</v>
      </c>
      <c r="N22" s="147" t="str">
        <f>IFERROR(__xludf.DUMMYFUNCTION("""COMPUTED_VALUE"""),"General")</f>
        <v>General</v>
      </c>
      <c r="O22" s="141" t="str">
        <f>IFERROR(__xludf.DUMMYFUNCTION("""COMPUTED_VALUE"""),"Beginner")</f>
        <v>Beginner</v>
      </c>
      <c r="P22" s="143">
        <f>IFERROR(__xludf.DUMMYFUNCTION("""COMPUTED_VALUE"""),0.033171296296296296)</f>
        <v>0.0331712963</v>
      </c>
      <c r="Q22" s="151"/>
      <c r="R22" s="140"/>
      <c r="S22" s="140"/>
    </row>
    <row r="23" ht="33.75" customHeight="1">
      <c r="A23" s="140"/>
      <c r="B23" s="140"/>
      <c r="C23" s="147">
        <f>IFERROR(__xludf.DUMMYFUNCTION("""COMPUTED_VALUE"""),365729.0)</f>
        <v>365729</v>
      </c>
      <c r="D23" s="148" t="str">
        <f>IFERROR(__xludf.DUMMYFUNCTION("""COMPUTED_VALUE"""),"Process Improvement Foundations")</f>
        <v>Process Improvement Foundations</v>
      </c>
      <c r="E23" s="147" t="str">
        <f>IFERROR(__xludf.DUMMYFUNCTION("""COMPUTED_VALUE"""),"General")</f>
        <v>General</v>
      </c>
      <c r="F23" s="141" t="str">
        <f>IFERROR(__xludf.DUMMYFUNCTION("""COMPUTED_VALUE"""),"Beginner")</f>
        <v>Beginner</v>
      </c>
      <c r="G23" s="143">
        <f>IFERROR(__xludf.DUMMYFUNCTION("""COMPUTED_VALUE"""),0.05466435185185185)</f>
        <v>0.05466435185</v>
      </c>
      <c r="H23" s="151"/>
      <c r="I23" s="140"/>
      <c r="J23" s="140"/>
      <c r="K23" s="140"/>
      <c r="L23" s="147">
        <f>IFERROR(__xludf.DUMMYFUNCTION("""COMPUTED_VALUE"""),2823345.0)</f>
        <v>2823345</v>
      </c>
      <c r="M23" s="148" t="str">
        <f>IFERROR(__xludf.DUMMYFUNCTION("""COMPUTED_VALUE"""),"Ecommerce Fundamentals (2020)")</f>
        <v>Ecommerce Fundamentals (2020)</v>
      </c>
      <c r="N23" s="147" t="str">
        <f>IFERROR(__xludf.DUMMYFUNCTION("""COMPUTED_VALUE"""),"General")</f>
        <v>General</v>
      </c>
      <c r="O23" s="141" t="str">
        <f>IFERROR(__xludf.DUMMYFUNCTION("""COMPUTED_VALUE"""),"Beginner")</f>
        <v>Beginner</v>
      </c>
      <c r="P23" s="143">
        <f>IFERROR(__xludf.DUMMYFUNCTION("""COMPUTED_VALUE"""),0.057604166666666665)</f>
        <v>0.05760416667</v>
      </c>
      <c r="Q23" s="151"/>
      <c r="R23" s="140"/>
      <c r="S23" s="140"/>
    </row>
    <row r="24" ht="33.75" customHeight="1">
      <c r="A24" s="140"/>
      <c r="B24" s="140"/>
      <c r="C24" s="147">
        <f>IFERROR(__xludf.DUMMYFUNCTION("""COMPUTED_VALUE"""),155342.0)</f>
        <v>155342</v>
      </c>
      <c r="D24" s="148" t="str">
        <f>IFERROR(__xludf.DUMMYFUNCTION("""COMPUTED_VALUE"""),"Solving Business Problems")</f>
        <v>Solving Business Problems</v>
      </c>
      <c r="E24" s="147" t="str">
        <f>IFERROR(__xludf.DUMMYFUNCTION("""COMPUTED_VALUE"""),"General")</f>
        <v>General</v>
      </c>
      <c r="F24" s="141" t="str">
        <f>IFERROR(__xludf.DUMMYFUNCTION("""COMPUTED_VALUE"""),"Beginner")</f>
        <v>Beginner</v>
      </c>
      <c r="G24" s="143">
        <f>IFERROR(__xludf.DUMMYFUNCTION("""COMPUTED_VALUE"""),0.025034722222222222)</f>
        <v>0.02503472222</v>
      </c>
      <c r="H24" s="151"/>
      <c r="I24" s="140"/>
      <c r="J24" s="140"/>
      <c r="K24" s="140"/>
      <c r="L24" s="147">
        <f>IFERROR(__xludf.DUMMYFUNCTION("""COMPUTED_VALUE"""),2825032.0)</f>
        <v>2825032</v>
      </c>
      <c r="M24" s="148" t="str">
        <f>IFERROR(__xludf.DUMMYFUNCTION("""COMPUTED_VALUE"""),"Empathy for Customer Service Professionals")</f>
        <v>Empathy for Customer Service Professionals</v>
      </c>
      <c r="N24" s="147" t="str">
        <f>IFERROR(__xludf.DUMMYFUNCTION("""COMPUTED_VALUE"""),"General")</f>
        <v>General</v>
      </c>
      <c r="O24" s="141" t="str">
        <f>IFERROR(__xludf.DUMMYFUNCTION("""COMPUTED_VALUE"""),"Beginner")</f>
        <v>Beginner</v>
      </c>
      <c r="P24" s="143">
        <f>IFERROR(__xludf.DUMMYFUNCTION("""COMPUTED_VALUE"""),0.014282407407407407)</f>
        <v>0.01428240741</v>
      </c>
      <c r="Q24" s="151"/>
      <c r="R24" s="140"/>
      <c r="S24" s="140"/>
    </row>
    <row r="25" ht="33.75" customHeight="1">
      <c r="A25" s="140"/>
      <c r="B25" s="140"/>
      <c r="C25" s="147">
        <f>IFERROR(__xludf.DUMMYFUNCTION("""COMPUTED_VALUE"""),2816034.0)</f>
        <v>2816034</v>
      </c>
      <c r="D25" s="148" t="str">
        <f>IFERROR(__xludf.DUMMYFUNCTION("""COMPUTED_VALUE"""),"Crafting Problem and Solution Statements")</f>
        <v>Crafting Problem and Solution Statements</v>
      </c>
      <c r="E25" s="147" t="str">
        <f>IFERROR(__xludf.DUMMYFUNCTION("""COMPUTED_VALUE"""),"General")</f>
        <v>General</v>
      </c>
      <c r="F25" s="141" t="str">
        <f>IFERROR(__xludf.DUMMYFUNCTION("""COMPUTED_VALUE"""),"Beginner")</f>
        <v>Beginner</v>
      </c>
      <c r="G25" s="143">
        <f>IFERROR(__xludf.DUMMYFUNCTION("""COMPUTED_VALUE"""),0.02587962962962963)</f>
        <v>0.02587962963</v>
      </c>
      <c r="H25" s="151"/>
      <c r="I25" s="140"/>
      <c r="J25" s="140"/>
      <c r="K25" s="140"/>
      <c r="L25" s="147">
        <f>IFERROR(__xludf.DUMMYFUNCTION("""COMPUTED_VALUE"""),2824270.0)</f>
        <v>2824270</v>
      </c>
      <c r="M25" s="148" t="str">
        <f>IFERROR(__xludf.DUMMYFUNCTION("""COMPUTED_VALUE"""),"Marketing Foundations: Consumer Behavior")</f>
        <v>Marketing Foundations: Consumer Behavior</v>
      </c>
      <c r="N25" s="147" t="str">
        <f>IFERROR(__xludf.DUMMYFUNCTION("""COMPUTED_VALUE"""),"General")</f>
        <v>General</v>
      </c>
      <c r="O25" s="141" t="str">
        <f>IFERROR(__xludf.DUMMYFUNCTION("""COMPUTED_VALUE"""),"Beginner")</f>
        <v>Beginner</v>
      </c>
      <c r="P25" s="143">
        <f>IFERROR(__xludf.DUMMYFUNCTION("""COMPUTED_VALUE"""),0.02912037037037037)</f>
        <v>0.02912037037</v>
      </c>
      <c r="Q25" s="151"/>
      <c r="R25" s="140"/>
      <c r="S25" s="140"/>
    </row>
    <row r="26" ht="33.75" customHeight="1">
      <c r="A26" s="140"/>
      <c r="B26" s="140"/>
      <c r="C26" s="147">
        <f>IFERROR(__xludf.DUMMYFUNCTION("""COMPUTED_VALUE"""),2823137.0)</f>
        <v>2823137</v>
      </c>
      <c r="D26" s="148" t="str">
        <f>IFERROR(__xludf.DUMMYFUNCTION("""COMPUTED_VALUE"""),"Improving Your Judgment for Better Decision-Making")</f>
        <v>Improving Your Judgment for Better Decision-Making</v>
      </c>
      <c r="E26" s="147" t="str">
        <f>IFERROR(__xludf.DUMMYFUNCTION("""COMPUTED_VALUE"""),"General")</f>
        <v>General</v>
      </c>
      <c r="F26" s="141" t="str">
        <f>IFERROR(__xludf.DUMMYFUNCTION("""COMPUTED_VALUE"""),"Beginner")</f>
        <v>Beginner</v>
      </c>
      <c r="G26" s="143">
        <f>IFERROR(__xludf.DUMMYFUNCTION("""COMPUTED_VALUE"""),0.02091435185185185)</f>
        <v>0.02091435185</v>
      </c>
      <c r="H26" s="151"/>
      <c r="I26" s="140"/>
      <c r="J26" s="140"/>
      <c r="K26" s="140"/>
      <c r="L26" s="147">
        <f>IFERROR(__xludf.DUMMYFUNCTION("""COMPUTED_VALUE"""),2822580.0)</f>
        <v>2822580</v>
      </c>
      <c r="M26" s="148" t="str">
        <f>IFERROR(__xludf.DUMMYFUNCTION("""COMPUTED_VALUE"""),"Customer Success Management Fundamentals")</f>
        <v>Customer Success Management Fundamentals</v>
      </c>
      <c r="N26" s="147" t="str">
        <f>IFERROR(__xludf.DUMMYFUNCTION("""COMPUTED_VALUE"""),"General")</f>
        <v>General</v>
      </c>
      <c r="O26" s="141" t="str">
        <f>IFERROR(__xludf.DUMMYFUNCTION("""COMPUTED_VALUE"""),"Beginner")</f>
        <v>Beginner</v>
      </c>
      <c r="P26" s="143">
        <f>IFERROR(__xludf.DUMMYFUNCTION("""COMPUTED_VALUE"""),0.04043981481481482)</f>
        <v>0.04043981481</v>
      </c>
      <c r="Q26" s="151"/>
      <c r="R26" s="140"/>
      <c r="S26" s="140"/>
    </row>
    <row r="27" ht="33.75" customHeight="1">
      <c r="A27" s="140"/>
      <c r="B27" s="140"/>
      <c r="C27" s="147">
        <f>IFERROR(__xludf.DUMMYFUNCTION("""COMPUTED_VALUE"""),2881017.0)</f>
        <v>2881017</v>
      </c>
      <c r="D27" s="148" t="str">
        <f>IFERROR(__xludf.DUMMYFUNCTION("""COMPUTED_VALUE"""),"How to Use Data Visualization to Make Better Decisions—Faster")</f>
        <v>How to Use Data Visualization to Make Better Decisions—Faster</v>
      </c>
      <c r="E27" s="147" t="str">
        <f>IFERROR(__xludf.DUMMYFUNCTION("""COMPUTED_VALUE"""),"General")</f>
        <v>General</v>
      </c>
      <c r="F27" s="141" t="str">
        <f>IFERROR(__xludf.DUMMYFUNCTION("""COMPUTED_VALUE"""),"Beginner")</f>
        <v>Beginner</v>
      </c>
      <c r="G27" s="143">
        <f>IFERROR(__xludf.DUMMYFUNCTION("""COMPUTED_VALUE"""),0.03546296296296296)</f>
        <v>0.03546296296</v>
      </c>
      <c r="H27" s="151"/>
      <c r="I27" s="140"/>
      <c r="J27" s="140"/>
      <c r="K27" s="140"/>
      <c r="L27" s="147">
        <f>IFERROR(__xludf.DUMMYFUNCTION("""COMPUTED_VALUE"""),2822581.0)</f>
        <v>2822581</v>
      </c>
      <c r="M27" s="148" t="str">
        <f>IFERROR(__xludf.DUMMYFUNCTION("""COMPUTED_VALUE"""),"Value Realization Best Practices for Customer Success Management")</f>
        <v>Value Realization Best Practices for Customer Success Management</v>
      </c>
      <c r="N27" s="147" t="str">
        <f>IFERROR(__xludf.DUMMYFUNCTION("""COMPUTED_VALUE"""),"General")</f>
        <v>General</v>
      </c>
      <c r="O27" s="141" t="str">
        <f>IFERROR(__xludf.DUMMYFUNCTION("""COMPUTED_VALUE"""),"Beginner")</f>
        <v>Beginner</v>
      </c>
      <c r="P27" s="143">
        <f>IFERROR(__xludf.DUMMYFUNCTION("""COMPUTED_VALUE"""),0.04525462962962963)</f>
        <v>0.04525462963</v>
      </c>
      <c r="Q27" s="151"/>
      <c r="R27" s="140"/>
      <c r="S27" s="140"/>
    </row>
    <row r="28" ht="33.75" customHeight="1">
      <c r="A28" s="140"/>
      <c r="B28" s="140"/>
      <c r="C28" s="147">
        <f>IFERROR(__xludf.DUMMYFUNCTION("""COMPUTED_VALUE"""),2423652.0)</f>
        <v>2423652</v>
      </c>
      <c r="D28" s="148" t="str">
        <f>IFERROR(__xludf.DUMMYFUNCTION("""COMPUTED_VALUE"""),"Simple Habits for Complex Times (getAbstract Summary)")</f>
        <v>Simple Habits for Complex Times (getAbstract Summary)</v>
      </c>
      <c r="E28" s="147" t="str">
        <f>IFERROR(__xludf.DUMMYFUNCTION("""COMPUTED_VALUE"""),"General")</f>
        <v>General</v>
      </c>
      <c r="F28" s="141" t="str">
        <f>IFERROR(__xludf.DUMMYFUNCTION("""COMPUTED_VALUE"""),"Beginner")</f>
        <v>Beginner</v>
      </c>
      <c r="G28" s="143">
        <f>IFERROR(__xludf.DUMMYFUNCTION("""COMPUTED_VALUE"""),0.010185185185185186)</f>
        <v>0.01018518519</v>
      </c>
      <c r="H28" s="151"/>
      <c r="I28" s="140"/>
      <c r="J28" s="140"/>
      <c r="K28" s="140"/>
      <c r="L28" s="147">
        <f>IFERROR(__xludf.DUMMYFUNCTION("""COMPUTED_VALUE"""),2822582.0)</f>
        <v>2822582</v>
      </c>
      <c r="M28" s="148" t="str">
        <f>IFERROR(__xludf.DUMMYFUNCTION("""COMPUTED_VALUE"""),"Avoiding Common Pitfalls in Customer Success Management")</f>
        <v>Avoiding Common Pitfalls in Customer Success Management</v>
      </c>
      <c r="N28" s="147" t="str">
        <f>IFERROR(__xludf.DUMMYFUNCTION("""COMPUTED_VALUE"""),"General")</f>
        <v>General</v>
      </c>
      <c r="O28" s="141" t="str">
        <f>IFERROR(__xludf.DUMMYFUNCTION("""COMPUTED_VALUE"""),"Beginner")</f>
        <v>Beginner</v>
      </c>
      <c r="P28" s="143">
        <f>IFERROR(__xludf.DUMMYFUNCTION("""COMPUTED_VALUE"""),0.024722222222222222)</f>
        <v>0.02472222222</v>
      </c>
      <c r="Q28" s="151"/>
      <c r="R28" s="140"/>
      <c r="S28" s="140"/>
    </row>
    <row r="29" ht="33.75" customHeight="1">
      <c r="A29" s="140"/>
      <c r="B29" s="140"/>
      <c r="C29" s="147">
        <f>IFERROR(__xludf.DUMMYFUNCTION("""COMPUTED_VALUE"""),2427506.0)</f>
        <v>2427506</v>
      </c>
      <c r="D29" s="148" t="str">
        <f>IFERROR(__xludf.DUMMYFUNCTION("""COMPUTED_VALUE"""),"Emotional Intelligence as an Inclusivity Booster")</f>
        <v>Emotional Intelligence as an Inclusivity Booster</v>
      </c>
      <c r="E29" s="147" t="str">
        <f>IFERROR(__xludf.DUMMYFUNCTION("""COMPUTED_VALUE"""),"General")</f>
        <v>General</v>
      </c>
      <c r="F29" s="141" t="str">
        <f>IFERROR(__xludf.DUMMYFUNCTION("""COMPUTED_VALUE"""),"Beginner")</f>
        <v>Beginner</v>
      </c>
      <c r="G29" s="143">
        <f>IFERROR(__xludf.DUMMYFUNCTION("""COMPUTED_VALUE"""),0.01615740740740741)</f>
        <v>0.01615740741</v>
      </c>
      <c r="H29" s="151"/>
      <c r="I29" s="140"/>
      <c r="J29" s="140"/>
      <c r="K29" s="140"/>
      <c r="L29" s="147">
        <f>IFERROR(__xludf.DUMMYFUNCTION("""COMPUTED_VALUE"""),2823488.0)</f>
        <v>2823488</v>
      </c>
      <c r="M29" s="148" t="str">
        <f>IFERROR(__xludf.DUMMYFUNCTION("""COMPUTED_VALUE"""),"Onboarding and Adoption Best Practices for Customer Success Management")</f>
        <v>Onboarding and Adoption Best Practices for Customer Success Management</v>
      </c>
      <c r="N29" s="147" t="str">
        <f>IFERROR(__xludf.DUMMYFUNCTION("""COMPUTED_VALUE"""),"General")</f>
        <v>General</v>
      </c>
      <c r="O29" s="141" t="str">
        <f>IFERROR(__xludf.DUMMYFUNCTION("""COMPUTED_VALUE"""),"Beginner")</f>
        <v>Beginner</v>
      </c>
      <c r="P29" s="143">
        <f>IFERROR(__xludf.DUMMYFUNCTION("""COMPUTED_VALUE"""),0.05265046296296296)</f>
        <v>0.05265046296</v>
      </c>
      <c r="Q29" s="151"/>
      <c r="R29" s="140"/>
      <c r="S29" s="140"/>
    </row>
    <row r="30" ht="33.75" customHeight="1">
      <c r="A30" s="140"/>
      <c r="B30" s="140"/>
      <c r="C30" s="147">
        <f>IFERROR(__xludf.DUMMYFUNCTION("""COMPUTED_VALUE"""),2448228.0)</f>
        <v>2448228</v>
      </c>
      <c r="D30" s="148" t="str">
        <f>IFERROR(__xludf.DUMMYFUNCTION("""COMPUTED_VALUE"""),"Overcoming Cognitive Bias")</f>
        <v>Overcoming Cognitive Bias</v>
      </c>
      <c r="E30" s="147" t="str">
        <f>IFERROR(__xludf.DUMMYFUNCTION("""COMPUTED_VALUE"""),"General")</f>
        <v>General</v>
      </c>
      <c r="F30" s="141" t="str">
        <f>IFERROR(__xludf.DUMMYFUNCTION("""COMPUTED_VALUE"""),"Beginner")</f>
        <v>Beginner</v>
      </c>
      <c r="G30" s="143">
        <f>IFERROR(__xludf.DUMMYFUNCTION("""COMPUTED_VALUE"""),0.023287037037037037)</f>
        <v>0.02328703704</v>
      </c>
      <c r="H30" s="151"/>
      <c r="I30" s="140"/>
      <c r="J30" s="140"/>
      <c r="K30" s="140"/>
      <c r="L30" s="147">
        <f>IFERROR(__xludf.DUMMYFUNCTION("""COMPUTED_VALUE"""),2824356.0)</f>
        <v>2824356</v>
      </c>
      <c r="M30" s="148" t="str">
        <f>IFERROR(__xludf.DUMMYFUNCTION("""COMPUTED_VALUE"""),"Engagement Preparation Best Practices for Customer Success Management")</f>
        <v>Engagement Preparation Best Practices for Customer Success Management</v>
      </c>
      <c r="N30" s="147" t="str">
        <f>IFERROR(__xludf.DUMMYFUNCTION("""COMPUTED_VALUE"""),"General")</f>
        <v>General</v>
      </c>
      <c r="O30" s="141" t="str">
        <f>IFERROR(__xludf.DUMMYFUNCTION("""COMPUTED_VALUE"""),"Beginner")</f>
        <v>Beginner</v>
      </c>
      <c r="P30" s="143">
        <f>IFERROR(__xludf.DUMMYFUNCTION("""COMPUTED_VALUE"""),0.03826388888888889)</f>
        <v>0.03826388889</v>
      </c>
      <c r="Q30" s="151"/>
      <c r="R30" s="140"/>
      <c r="S30" s="140"/>
    </row>
    <row r="31" ht="33.75" customHeight="1">
      <c r="A31" s="140"/>
      <c r="B31" s="140"/>
      <c r="C31" s="147">
        <f>IFERROR(__xludf.DUMMYFUNCTION("""COMPUTED_VALUE"""),2451149.0)</f>
        <v>2451149</v>
      </c>
      <c r="D31" s="148" t="str">
        <f>IFERROR(__xludf.DUMMYFUNCTION("""COMPUTED_VALUE"""),"Improving Your Thinking")</f>
        <v>Improving Your Thinking</v>
      </c>
      <c r="E31" s="147" t="str">
        <f>IFERROR(__xludf.DUMMYFUNCTION("""COMPUTED_VALUE"""),"General")</f>
        <v>General</v>
      </c>
      <c r="F31" s="141" t="str">
        <f>IFERROR(__xludf.DUMMYFUNCTION("""COMPUTED_VALUE"""),"Beginner")</f>
        <v>Beginner</v>
      </c>
      <c r="G31" s="143">
        <f>IFERROR(__xludf.DUMMYFUNCTION("""COMPUTED_VALUE"""),0.03680555555555556)</f>
        <v>0.03680555556</v>
      </c>
      <c r="H31" s="151"/>
      <c r="I31" s="140"/>
      <c r="J31" s="140"/>
      <c r="K31" s="140"/>
      <c r="L31" s="147">
        <f>IFERROR(__xludf.DUMMYFUNCTION("""COMPUTED_VALUE"""),704121.0)</f>
        <v>704121</v>
      </c>
      <c r="M31" s="148" t="str">
        <f>IFERROR(__xludf.DUMMYFUNCTION("""COMPUTED_VALUE"""),"Product Management: Customer Development")</f>
        <v>Product Management: Customer Development</v>
      </c>
      <c r="N31" s="147" t="str">
        <f>IFERROR(__xludf.DUMMYFUNCTION("""COMPUTED_VALUE"""),"General")</f>
        <v>General</v>
      </c>
      <c r="O31" s="141" t="str">
        <f>IFERROR(__xludf.DUMMYFUNCTION("""COMPUTED_VALUE"""),"Beginner")</f>
        <v>Beginner</v>
      </c>
      <c r="P31" s="143">
        <f>IFERROR(__xludf.DUMMYFUNCTION("""COMPUTED_VALUE"""),0.043506944444444445)</f>
        <v>0.04350694444</v>
      </c>
      <c r="Q31" s="151"/>
      <c r="R31" s="140"/>
      <c r="S31" s="140"/>
    </row>
    <row r="32" ht="33.75" customHeight="1">
      <c r="A32" s="140"/>
      <c r="B32" s="140"/>
      <c r="C32" s="147">
        <f>IFERROR(__xludf.DUMMYFUNCTION("""COMPUTED_VALUE"""),2824108.0)</f>
        <v>2824108</v>
      </c>
      <c r="D32" s="148" t="str">
        <f>IFERROR(__xludf.DUMMYFUNCTION("""COMPUTED_VALUE"""),"Practical Creativity for Everyone")</f>
        <v>Practical Creativity for Everyone</v>
      </c>
      <c r="E32" s="147" t="str">
        <f>IFERROR(__xludf.DUMMYFUNCTION("""COMPUTED_VALUE"""),"General")</f>
        <v>General</v>
      </c>
      <c r="F32" s="141" t="str">
        <f>IFERROR(__xludf.DUMMYFUNCTION("""COMPUTED_VALUE"""),"Beginner + Intermediate")</f>
        <v>Beginner + Intermediate</v>
      </c>
      <c r="G32" s="143">
        <f>IFERROR(__xludf.DUMMYFUNCTION("""COMPUTED_VALUE"""),0.025798611111111112)</f>
        <v>0.02579861111</v>
      </c>
      <c r="H32" s="151"/>
      <c r="I32" s="140"/>
      <c r="J32" s="140"/>
      <c r="K32" s="140"/>
      <c r="L32" s="147">
        <f>IFERROR(__xludf.DUMMYFUNCTION("""COMPUTED_VALUE"""),2822209.0)</f>
        <v>2822209</v>
      </c>
      <c r="M32" s="148" t="str">
        <f>IFERROR(__xludf.DUMMYFUNCTION("""COMPUTED_VALUE"""),"Making Business Videos for Customers")</f>
        <v>Making Business Videos for Customers</v>
      </c>
      <c r="N32" s="147" t="str">
        <f>IFERROR(__xludf.DUMMYFUNCTION("""COMPUTED_VALUE"""),"General")</f>
        <v>General</v>
      </c>
      <c r="O32" s="141" t="str">
        <f>IFERROR(__xludf.DUMMYFUNCTION("""COMPUTED_VALUE"""),"Beginner")</f>
        <v>Beginner</v>
      </c>
      <c r="P32" s="143">
        <f>IFERROR(__xludf.DUMMYFUNCTION("""COMPUTED_VALUE"""),0.03302083333333333)</f>
        <v>0.03302083333</v>
      </c>
      <c r="Q32" s="151"/>
      <c r="R32" s="140"/>
      <c r="S32" s="140"/>
    </row>
    <row r="33" ht="33.75" customHeight="1">
      <c r="A33" s="140"/>
      <c r="B33" s="140"/>
      <c r="C33" s="147">
        <f>IFERROR(__xludf.DUMMYFUNCTION("""COMPUTED_VALUE"""),170777.0)</f>
        <v>170777</v>
      </c>
      <c r="D33" s="148" t="str">
        <f>IFERROR(__xludf.DUMMYFUNCTION("""COMPUTED_VALUE"""),"Building Resilience")</f>
        <v>Building Resilience</v>
      </c>
      <c r="E33" s="147" t="str">
        <f>IFERROR(__xludf.DUMMYFUNCTION("""COMPUTED_VALUE"""),"General")</f>
        <v>General</v>
      </c>
      <c r="F33" s="141" t="str">
        <f>IFERROR(__xludf.DUMMYFUNCTION("""COMPUTED_VALUE"""),"General")</f>
        <v>General</v>
      </c>
      <c r="G33" s="143">
        <f>IFERROR(__xludf.DUMMYFUNCTION("""COMPUTED_VALUE"""),0.023900462962962964)</f>
        <v>0.02390046296</v>
      </c>
      <c r="H33" s="151"/>
      <c r="I33" s="140"/>
      <c r="J33" s="140"/>
      <c r="K33" s="140"/>
      <c r="L33" s="147">
        <f>IFERROR(__xludf.DUMMYFUNCTION("""COMPUTED_VALUE"""),3157766.0)</f>
        <v>3157766</v>
      </c>
      <c r="M33" s="148" t="str">
        <f>IFERROR(__xludf.DUMMYFUNCTION("""COMPUTED_VALUE"""),"Aftersale: Maintaining Relationships")</f>
        <v>Aftersale: Maintaining Relationships</v>
      </c>
      <c r="N33" s="147" t="str">
        <f>IFERROR(__xludf.DUMMYFUNCTION("""COMPUTED_VALUE"""),"General")</f>
        <v>General</v>
      </c>
      <c r="O33" s="141" t="str">
        <f>IFERROR(__xludf.DUMMYFUNCTION("""COMPUTED_VALUE"""),"Beginner")</f>
        <v>Beginner</v>
      </c>
      <c r="P33" s="143">
        <f>IFERROR(__xludf.DUMMYFUNCTION("""COMPUTED_VALUE"""),0.025138888888888888)</f>
        <v>0.02513888889</v>
      </c>
      <c r="Q33" s="151"/>
      <c r="R33" s="140"/>
      <c r="S33" s="140"/>
    </row>
    <row r="34" ht="33.75" customHeight="1">
      <c r="A34" s="140"/>
      <c r="B34" s="140"/>
      <c r="C34" s="147">
        <f>IFERROR(__xludf.DUMMYFUNCTION("""COMPUTED_VALUE"""),424116.0)</f>
        <v>424116</v>
      </c>
      <c r="D34" s="148" t="str">
        <f>IFERROR(__xludf.DUMMYFUNCTION("""COMPUTED_VALUE"""),"Critical Thinking")</f>
        <v>Critical Thinking</v>
      </c>
      <c r="E34" s="147" t="str">
        <f>IFERROR(__xludf.DUMMYFUNCTION("""COMPUTED_VALUE"""),"General")</f>
        <v>General</v>
      </c>
      <c r="F34" s="141" t="str">
        <f>IFERROR(__xludf.DUMMYFUNCTION("""COMPUTED_VALUE"""),"General")</f>
        <v>General</v>
      </c>
      <c r="G34" s="143">
        <f>IFERROR(__xludf.DUMMYFUNCTION("""COMPUTED_VALUE"""),0.04138888888888889)</f>
        <v>0.04138888889</v>
      </c>
      <c r="H34" s="151"/>
      <c r="I34" s="140"/>
      <c r="J34" s="140"/>
      <c r="K34" s="140"/>
      <c r="L34" s="147">
        <f>IFERROR(__xludf.DUMMYFUNCTION("""COMPUTED_VALUE"""),2823199.0)</f>
        <v>2823199</v>
      </c>
      <c r="M34" s="148" t="str">
        <f>IFERROR(__xludf.DUMMYFUNCTION("""COMPUTED_VALUE"""),"Data Ethics: Managing Your Private Customer Data")</f>
        <v>Data Ethics: Managing Your Private Customer Data</v>
      </c>
      <c r="N34" s="147" t="str">
        <f>IFERROR(__xludf.DUMMYFUNCTION("""COMPUTED_VALUE"""),"General")</f>
        <v>General</v>
      </c>
      <c r="O34" s="141" t="str">
        <f>IFERROR(__xludf.DUMMYFUNCTION("""COMPUTED_VALUE"""),"Beginner + Intermediate")</f>
        <v>Beginner + Intermediate</v>
      </c>
      <c r="P34" s="143">
        <f>IFERROR(__xludf.DUMMYFUNCTION("""COMPUTED_VALUE"""),0.04611111111111111)</f>
        <v>0.04611111111</v>
      </c>
      <c r="Q34" s="151"/>
      <c r="R34" s="140"/>
      <c r="S34" s="140"/>
    </row>
    <row r="35" ht="33.75" customHeight="1">
      <c r="A35" s="140"/>
      <c r="B35" s="140"/>
      <c r="C35" s="147">
        <f>IFERROR(__xludf.DUMMYFUNCTION("""COMPUTED_VALUE"""),718628.0)</f>
        <v>718628</v>
      </c>
      <c r="D35" s="148" t="str">
        <f>IFERROR(__xludf.DUMMYFUNCTION("""COMPUTED_VALUE"""),"Cultivating a Growth Mindset")</f>
        <v>Cultivating a Growth Mindset</v>
      </c>
      <c r="E35" s="147" t="str">
        <f>IFERROR(__xludf.DUMMYFUNCTION("""COMPUTED_VALUE"""),"General")</f>
        <v>General</v>
      </c>
      <c r="F35" s="141" t="str">
        <f>IFERROR(__xludf.DUMMYFUNCTION("""COMPUTED_VALUE"""),"General")</f>
        <v>General</v>
      </c>
      <c r="G35" s="143">
        <f>IFERROR(__xludf.DUMMYFUNCTION("""COMPUTED_VALUE"""),0.0409375)</f>
        <v>0.0409375</v>
      </c>
      <c r="H35" s="151"/>
      <c r="I35" s="140"/>
      <c r="J35" s="140"/>
      <c r="K35" s="140"/>
      <c r="L35" s="147">
        <f>IFERROR(__xludf.DUMMYFUNCTION("""COMPUTED_VALUE"""),2823165.0)</f>
        <v>2823165</v>
      </c>
      <c r="M35" s="148" t="str">
        <f>IFERROR(__xludf.DUMMYFUNCTION("""COMPUTED_VALUE"""),"Empathy in UX Design")</f>
        <v>Empathy in UX Design</v>
      </c>
      <c r="N35" s="147" t="str">
        <f>IFERROR(__xludf.DUMMYFUNCTION("""COMPUTED_VALUE"""),"General")</f>
        <v>General</v>
      </c>
      <c r="O35" s="141" t="str">
        <f>IFERROR(__xludf.DUMMYFUNCTION("""COMPUTED_VALUE"""),"Beginner + Intermediate")</f>
        <v>Beginner + Intermediate</v>
      </c>
      <c r="P35" s="143">
        <f>IFERROR(__xludf.DUMMYFUNCTION("""COMPUTED_VALUE"""),0.049212962962962965)</f>
        <v>0.04921296296</v>
      </c>
      <c r="Q35" s="151"/>
      <c r="R35" s="140"/>
      <c r="S35" s="140"/>
    </row>
    <row r="36" ht="33.75" customHeight="1">
      <c r="A36" s="140"/>
      <c r="B36" s="140"/>
      <c r="C36" s="147">
        <f>IFERROR(__xludf.DUMMYFUNCTION("""COMPUTED_VALUE"""),777381.0)</f>
        <v>777381</v>
      </c>
      <c r="D36" s="148" t="str">
        <f>IFERROR(__xludf.DUMMYFUNCTION("""COMPUTED_VALUE"""),"Delivering Results Effectively")</f>
        <v>Delivering Results Effectively</v>
      </c>
      <c r="E36" s="147" t="str">
        <f>IFERROR(__xludf.DUMMYFUNCTION("""COMPUTED_VALUE"""),"General")</f>
        <v>General</v>
      </c>
      <c r="F36" s="141" t="str">
        <f>IFERROR(__xludf.DUMMYFUNCTION("""COMPUTED_VALUE"""),"General")</f>
        <v>General</v>
      </c>
      <c r="G36" s="143">
        <f>IFERROR(__xludf.DUMMYFUNCTION("""COMPUTED_VALUE"""),0.03805555555555556)</f>
        <v>0.03805555556</v>
      </c>
      <c r="H36" s="151"/>
      <c r="I36" s="140"/>
      <c r="J36" s="140"/>
      <c r="K36" s="140"/>
      <c r="L36" s="147">
        <f>IFERROR(__xludf.DUMMYFUNCTION("""COMPUTED_VALUE"""),661753.0)</f>
        <v>661753</v>
      </c>
      <c r="M36" s="148" t="str">
        <f>IFERROR(__xludf.DUMMYFUNCTION("""COMPUTED_VALUE"""),"Customer Service: Handling Abusive Customers")</f>
        <v>Customer Service: Handling Abusive Customers</v>
      </c>
      <c r="N36" s="147" t="str">
        <f>IFERROR(__xludf.DUMMYFUNCTION("""COMPUTED_VALUE"""),"General")</f>
        <v>General</v>
      </c>
      <c r="O36" s="141" t="str">
        <f>IFERROR(__xludf.DUMMYFUNCTION("""COMPUTED_VALUE"""),"Beginner + Intermediate")</f>
        <v>Beginner + Intermediate</v>
      </c>
      <c r="P36" s="143">
        <f>IFERROR(__xludf.DUMMYFUNCTION("""COMPUTED_VALUE"""),0.027662037037037037)</f>
        <v>0.02766203704</v>
      </c>
      <c r="Q36" s="151"/>
      <c r="R36" s="140"/>
      <c r="S36" s="140"/>
    </row>
    <row r="37" ht="33.75" customHeight="1">
      <c r="A37" s="140"/>
      <c r="B37" s="140"/>
      <c r="C37" s="147">
        <f>IFERROR(__xludf.DUMMYFUNCTION("""COMPUTED_VALUE"""),718618.0)</f>
        <v>718618</v>
      </c>
      <c r="D37" s="148" t="str">
        <f>IFERROR(__xludf.DUMMYFUNCTION("""COMPUTED_VALUE"""),"Enhancing Resilience")</f>
        <v>Enhancing Resilience</v>
      </c>
      <c r="E37" s="147" t="str">
        <f>IFERROR(__xludf.DUMMYFUNCTION("""COMPUTED_VALUE"""),"General")</f>
        <v>General</v>
      </c>
      <c r="F37" s="141" t="str">
        <f>IFERROR(__xludf.DUMMYFUNCTION("""COMPUTED_VALUE"""),"General")</f>
        <v>General</v>
      </c>
      <c r="G37" s="143">
        <f>IFERROR(__xludf.DUMMYFUNCTION("""COMPUTED_VALUE"""),0.03596064814814815)</f>
        <v>0.03596064815</v>
      </c>
      <c r="H37" s="151"/>
      <c r="I37" s="140"/>
      <c r="J37" s="140"/>
      <c r="K37" s="140"/>
      <c r="L37" s="147">
        <f>IFERROR(__xludf.DUMMYFUNCTION("""COMPUTED_VALUE"""),704116.0)</f>
        <v>704116</v>
      </c>
      <c r="M37" s="148" t="str">
        <f>IFERROR(__xludf.DUMMYFUNCTION("""COMPUTED_VALUE"""),"Customer Service: Managing Customer Feedback")</f>
        <v>Customer Service: Managing Customer Feedback</v>
      </c>
      <c r="N37" s="147" t="str">
        <f>IFERROR(__xludf.DUMMYFUNCTION("""COMPUTED_VALUE"""),"General")</f>
        <v>General</v>
      </c>
      <c r="O37" s="141" t="str">
        <f>IFERROR(__xludf.DUMMYFUNCTION("""COMPUTED_VALUE"""),"Beginner + Intermediate")</f>
        <v>Beginner + Intermediate</v>
      </c>
      <c r="P37" s="143">
        <f>IFERROR(__xludf.DUMMYFUNCTION("""COMPUTED_VALUE"""),0.03753472222222222)</f>
        <v>0.03753472222</v>
      </c>
      <c r="Q37" s="151"/>
      <c r="R37" s="140"/>
      <c r="S37" s="140"/>
    </row>
    <row r="38" ht="33.75" customHeight="1">
      <c r="A38" s="140"/>
      <c r="B38" s="140"/>
      <c r="C38" s="147">
        <f>IFERROR(__xludf.DUMMYFUNCTION("""COMPUTED_VALUE"""),458641.0)</f>
        <v>458641</v>
      </c>
      <c r="D38" s="148" t="str">
        <f>IFERROR(__xludf.DUMMYFUNCTION("""COMPUTED_VALUE"""),"Fred Kofman on Making Commitments")</f>
        <v>Fred Kofman on Making Commitments</v>
      </c>
      <c r="E38" s="147" t="str">
        <f>IFERROR(__xludf.DUMMYFUNCTION("""COMPUTED_VALUE"""),"General")</f>
        <v>General</v>
      </c>
      <c r="F38" s="141" t="str">
        <f>IFERROR(__xludf.DUMMYFUNCTION("""COMPUTED_VALUE"""),"General")</f>
        <v>General</v>
      </c>
      <c r="G38" s="143">
        <f>IFERROR(__xludf.DUMMYFUNCTION("""COMPUTED_VALUE"""),0.039375)</f>
        <v>0.039375</v>
      </c>
      <c r="H38" s="151"/>
      <c r="I38" s="140"/>
      <c r="J38" s="140"/>
      <c r="K38" s="140"/>
      <c r="L38" s="147">
        <f>IFERROR(__xludf.DUMMYFUNCTION("""COMPUTED_VALUE"""),616661.0)</f>
        <v>616661</v>
      </c>
      <c r="M38" s="148" t="str">
        <f>IFERROR(__xludf.DUMMYFUNCTION("""COMPUTED_VALUE"""),"Customer Service: Problem Solving and Troubleshooting")</f>
        <v>Customer Service: Problem Solving and Troubleshooting</v>
      </c>
      <c r="N38" s="147" t="str">
        <f>IFERROR(__xludf.DUMMYFUNCTION("""COMPUTED_VALUE"""),"General")</f>
        <v>General</v>
      </c>
      <c r="O38" s="141" t="str">
        <f>IFERROR(__xludf.DUMMYFUNCTION("""COMPUTED_VALUE"""),"Beginner + Intermediate")</f>
        <v>Beginner + Intermediate</v>
      </c>
      <c r="P38" s="143">
        <f>IFERROR(__xludf.DUMMYFUNCTION("""COMPUTED_VALUE"""),0.022511574074074073)</f>
        <v>0.02251157407</v>
      </c>
      <c r="Q38" s="151"/>
      <c r="R38" s="140"/>
      <c r="S38" s="140"/>
    </row>
    <row r="39" ht="33.75" customHeight="1">
      <c r="A39" s="140"/>
      <c r="B39" s="140"/>
      <c r="C39" s="147">
        <f>IFERROR(__xludf.DUMMYFUNCTION("""COMPUTED_VALUE"""),363225.0)</f>
        <v>363225</v>
      </c>
      <c r="D39" s="148" t="str">
        <f>IFERROR(__xludf.DUMMYFUNCTION("""COMPUTED_VALUE"""),"Learning from Failure")</f>
        <v>Learning from Failure</v>
      </c>
      <c r="E39" s="147" t="str">
        <f>IFERROR(__xludf.DUMMYFUNCTION("""COMPUTED_VALUE"""),"General")</f>
        <v>General</v>
      </c>
      <c r="F39" s="141" t="str">
        <f>IFERROR(__xludf.DUMMYFUNCTION("""COMPUTED_VALUE"""),"General")</f>
        <v>General</v>
      </c>
      <c r="G39" s="143">
        <f>IFERROR(__xludf.DUMMYFUNCTION("""COMPUTED_VALUE"""),0.018078703703703704)</f>
        <v>0.0180787037</v>
      </c>
      <c r="H39" s="151"/>
      <c r="I39" s="140"/>
      <c r="J39" s="140"/>
      <c r="K39" s="140"/>
      <c r="L39" s="147">
        <f>IFERROR(__xludf.DUMMYFUNCTION("""COMPUTED_VALUE"""),645012.0)</f>
        <v>645012</v>
      </c>
      <c r="M39" s="148" t="str">
        <f>IFERROR(__xludf.DUMMYFUNCTION("""COMPUTED_VALUE"""),"Developing a Service Mindset")</f>
        <v>Developing a Service Mindset</v>
      </c>
      <c r="N39" s="147" t="str">
        <f>IFERROR(__xludf.DUMMYFUNCTION("""COMPUTED_VALUE"""),"General")</f>
        <v>General</v>
      </c>
      <c r="O39" s="141" t="str">
        <f>IFERROR(__xludf.DUMMYFUNCTION("""COMPUTED_VALUE"""),"Beginner + Intermediate")</f>
        <v>Beginner + Intermediate</v>
      </c>
      <c r="P39" s="143">
        <f>IFERROR(__xludf.DUMMYFUNCTION("""COMPUTED_VALUE"""),0.028564814814814814)</f>
        <v>0.02856481481</v>
      </c>
      <c r="Q39" s="151"/>
      <c r="R39" s="140"/>
      <c r="S39" s="140"/>
    </row>
    <row r="40" ht="33.75" customHeight="1">
      <c r="A40" s="140"/>
      <c r="B40" s="140"/>
      <c r="C40" s="147">
        <f>IFERROR(__xludf.DUMMYFUNCTION("""COMPUTED_VALUE"""),737763.0)</f>
        <v>737763</v>
      </c>
      <c r="D40" s="148" t="str">
        <f>IFERROR(__xludf.DUMMYFUNCTION("""COMPUTED_VALUE"""),"Prioritizing Your Tasks")</f>
        <v>Prioritizing Your Tasks</v>
      </c>
      <c r="E40" s="147" t="str">
        <f>IFERROR(__xludf.DUMMYFUNCTION("""COMPUTED_VALUE"""),"General")</f>
        <v>General</v>
      </c>
      <c r="F40" s="141" t="str">
        <f>IFERROR(__xludf.DUMMYFUNCTION("""COMPUTED_VALUE"""),"General")</f>
        <v>General</v>
      </c>
      <c r="G40" s="143">
        <f>IFERROR(__xludf.DUMMYFUNCTION("""COMPUTED_VALUE"""),0.02599537037037037)</f>
        <v>0.02599537037</v>
      </c>
      <c r="H40" s="151"/>
      <c r="I40" s="140"/>
      <c r="J40" s="140"/>
      <c r="K40" s="140"/>
      <c r="L40" s="147">
        <f>IFERROR(__xludf.DUMMYFUNCTION("""COMPUTED_VALUE"""),746263.0)</f>
        <v>746263</v>
      </c>
      <c r="M40" s="148" t="str">
        <f>IFERROR(__xludf.DUMMYFUNCTION("""COMPUTED_VALUE"""),"Building Rapport with Customers")</f>
        <v>Building Rapport with Customers</v>
      </c>
      <c r="N40" s="147" t="str">
        <f>IFERROR(__xludf.DUMMYFUNCTION("""COMPUTED_VALUE"""),"General")</f>
        <v>General</v>
      </c>
      <c r="O40" s="141" t="str">
        <f>IFERROR(__xludf.DUMMYFUNCTION("""COMPUTED_VALUE"""),"General")</f>
        <v>General</v>
      </c>
      <c r="P40" s="143">
        <f>IFERROR(__xludf.DUMMYFUNCTION("""COMPUTED_VALUE"""),0.018796296296296297)</f>
        <v>0.0187962963</v>
      </c>
      <c r="Q40" s="151"/>
      <c r="R40" s="140"/>
      <c r="S40" s="140"/>
    </row>
    <row r="41" ht="33.75" customHeight="1">
      <c r="A41" s="140"/>
      <c r="B41" s="140"/>
      <c r="C41" s="147">
        <f>IFERROR(__xludf.DUMMYFUNCTION("""COMPUTED_VALUE"""),669533.0)</f>
        <v>669533</v>
      </c>
      <c r="D41" s="148" t="str">
        <f>IFERROR(__xludf.DUMMYFUNCTION("""COMPUTED_VALUE"""),"Sheryl Sandberg and Adam Grant on Option B: Building Resilience")</f>
        <v>Sheryl Sandberg and Adam Grant on Option B: Building Resilience</v>
      </c>
      <c r="E41" s="147" t="str">
        <f>IFERROR(__xludf.DUMMYFUNCTION("""COMPUTED_VALUE"""),"General")</f>
        <v>General</v>
      </c>
      <c r="F41" s="141" t="str">
        <f>IFERROR(__xludf.DUMMYFUNCTION("""COMPUTED_VALUE"""),"General")</f>
        <v>General</v>
      </c>
      <c r="G41" s="143">
        <f>IFERROR(__xludf.DUMMYFUNCTION("""COMPUTED_VALUE"""),0.014421296296296297)</f>
        <v>0.0144212963</v>
      </c>
      <c r="H41" s="151"/>
      <c r="I41" s="140"/>
      <c r="J41" s="140"/>
      <c r="K41" s="140"/>
      <c r="L41" s="147">
        <f>IFERROR(__xludf.DUMMYFUNCTION("""COMPUTED_VALUE"""),456351.0)</f>
        <v>456351</v>
      </c>
      <c r="M41" s="148" t="str">
        <f>IFERROR(__xludf.DUMMYFUNCTION("""COMPUTED_VALUE"""),"Customer Service: Managing Customer Expectations")</f>
        <v>Customer Service: Managing Customer Expectations</v>
      </c>
      <c r="N41" s="147" t="str">
        <f>IFERROR(__xludf.DUMMYFUNCTION("""COMPUTED_VALUE"""),"General")</f>
        <v>General</v>
      </c>
      <c r="O41" s="141" t="str">
        <f>IFERROR(__xludf.DUMMYFUNCTION("""COMPUTED_VALUE"""),"General")</f>
        <v>General</v>
      </c>
      <c r="P41" s="143">
        <f>IFERROR(__xludf.DUMMYFUNCTION("""COMPUTED_VALUE"""),0.0146875)</f>
        <v>0.0146875</v>
      </c>
      <c r="Q41" s="151"/>
      <c r="R41" s="140"/>
      <c r="S41" s="140"/>
    </row>
    <row r="42" ht="33.75" customHeight="1">
      <c r="A42" s="140"/>
      <c r="B42" s="140"/>
      <c r="C42" s="147">
        <f>IFERROR(__xludf.DUMMYFUNCTION("""COMPUTED_VALUE"""),728377.0)</f>
        <v>728377</v>
      </c>
      <c r="D42" s="148" t="str">
        <f>IFERROR(__xludf.DUMMYFUNCTION("""COMPUTED_VALUE"""),"Successful Goal Setting")</f>
        <v>Successful Goal Setting</v>
      </c>
      <c r="E42" s="147" t="str">
        <f>IFERROR(__xludf.DUMMYFUNCTION("""COMPUTED_VALUE"""),"General")</f>
        <v>General</v>
      </c>
      <c r="F42" s="141" t="str">
        <f>IFERROR(__xludf.DUMMYFUNCTION("""COMPUTED_VALUE"""),"General")</f>
        <v>General</v>
      </c>
      <c r="G42" s="143">
        <f>IFERROR(__xludf.DUMMYFUNCTION("""COMPUTED_VALUE"""),0.01730324074074074)</f>
        <v>0.01730324074</v>
      </c>
      <c r="H42" s="151"/>
      <c r="I42" s="140"/>
      <c r="J42" s="140"/>
      <c r="K42" s="140"/>
      <c r="L42" s="147">
        <f>IFERROR(__xludf.DUMMYFUNCTION("""COMPUTED_VALUE"""),2880018.0)</f>
        <v>2880018</v>
      </c>
      <c r="M42" s="148" t="str">
        <f>IFERROR(__xludf.DUMMYFUNCTION("""COMPUTED_VALUE"""),"Providing Legendary Customer Service")</f>
        <v>Providing Legendary Customer Service</v>
      </c>
      <c r="N42" s="147" t="str">
        <f>IFERROR(__xludf.DUMMYFUNCTION("""COMPUTED_VALUE"""),"General")</f>
        <v>General</v>
      </c>
      <c r="O42" s="141" t="str">
        <f>IFERROR(__xludf.DUMMYFUNCTION("""COMPUTED_VALUE"""),"General")</f>
        <v>General</v>
      </c>
      <c r="P42" s="143">
        <f>IFERROR(__xludf.DUMMYFUNCTION("""COMPUTED_VALUE"""),0.05157407407407407)</f>
        <v>0.05157407407</v>
      </c>
      <c r="Q42" s="151"/>
      <c r="R42" s="140"/>
      <c r="S42" s="140"/>
    </row>
    <row r="43" ht="33.75" customHeight="1">
      <c r="A43" s="140"/>
      <c r="B43" s="140"/>
      <c r="C43" s="147">
        <f>IFERROR(__xludf.DUMMYFUNCTION("""COMPUTED_VALUE"""),387349.0)</f>
        <v>387349</v>
      </c>
      <c r="D43" s="148" t="str">
        <f>IFERROR(__xludf.DUMMYFUNCTION("""COMPUTED_VALUE"""),"Powerless to Powerful: Taking Control")</f>
        <v>Powerless to Powerful: Taking Control</v>
      </c>
      <c r="E43" s="147" t="str">
        <f>IFERROR(__xludf.DUMMYFUNCTION("""COMPUTED_VALUE"""),"General")</f>
        <v>General</v>
      </c>
      <c r="F43" s="141" t="str">
        <f>IFERROR(__xludf.DUMMYFUNCTION("""COMPUTED_VALUE"""),"General")</f>
        <v>General</v>
      </c>
      <c r="G43" s="143">
        <f>IFERROR(__xludf.DUMMYFUNCTION("""COMPUTED_VALUE"""),0.033796296296296297)</f>
        <v>0.0337962963</v>
      </c>
      <c r="H43" s="151"/>
      <c r="I43" s="140"/>
      <c r="J43" s="140"/>
      <c r="K43" s="140"/>
      <c r="L43" s="147">
        <f>IFERROR(__xludf.DUMMYFUNCTION("""COMPUTED_VALUE"""),2243042.0)</f>
        <v>2243042</v>
      </c>
      <c r="M43" s="148" t="str">
        <f>IFERROR(__xludf.DUMMYFUNCTION("""COMPUTED_VALUE"""),"Data Driven: Harnessing Data and AI to Reinvent Customer Engagement (getAbstract Summary)")</f>
        <v>Data Driven: Harnessing Data and AI to Reinvent Customer Engagement (getAbstract Summary)</v>
      </c>
      <c r="N43" s="147" t="str">
        <f>IFERROR(__xludf.DUMMYFUNCTION("""COMPUTED_VALUE"""),"General")</f>
        <v>General</v>
      </c>
      <c r="O43" s="141" t="str">
        <f>IFERROR(__xludf.DUMMYFUNCTION("""COMPUTED_VALUE"""),"General")</f>
        <v>General</v>
      </c>
      <c r="P43" s="143">
        <f>IFERROR(__xludf.DUMMYFUNCTION("""COMPUTED_VALUE"""),0.009583333333333333)</f>
        <v>0.009583333333</v>
      </c>
      <c r="Q43" s="151"/>
      <c r="R43" s="140"/>
      <c r="S43" s="140"/>
    </row>
    <row r="44" ht="33.75" customHeight="1">
      <c r="A44" s="140"/>
      <c r="B44" s="140"/>
      <c r="C44" s="147">
        <f>IFERROR(__xludf.DUMMYFUNCTION("""COMPUTED_VALUE"""),5015863.0)</f>
        <v>5015863</v>
      </c>
      <c r="D44" s="148" t="str">
        <f>IFERROR(__xludf.DUMMYFUNCTION("""COMPUTED_VALUE"""),"Making Quick Decisions")</f>
        <v>Making Quick Decisions</v>
      </c>
      <c r="E44" s="147" t="str">
        <f>IFERROR(__xludf.DUMMYFUNCTION("""COMPUTED_VALUE"""),"General")</f>
        <v>General</v>
      </c>
      <c r="F44" s="141" t="str">
        <f>IFERROR(__xludf.DUMMYFUNCTION("""COMPUTED_VALUE"""),"General")</f>
        <v>General</v>
      </c>
      <c r="G44" s="143">
        <f>IFERROR(__xludf.DUMMYFUNCTION("""COMPUTED_VALUE"""),0.015127314814814816)</f>
        <v>0.01512731481</v>
      </c>
      <c r="H44" s="151"/>
      <c r="I44" s="140"/>
      <c r="J44" s="140"/>
      <c r="K44" s="140"/>
      <c r="L44" s="147">
        <f>IFERROR(__xludf.DUMMYFUNCTION("""COMPUTED_VALUE"""),2822652.0)</f>
        <v>2822652</v>
      </c>
      <c r="M44" s="148" t="str">
        <f>IFERROR(__xludf.DUMMYFUNCTION("""COMPUTED_VALUE"""),"Just Ask: Dean Karrel on Sales")</f>
        <v>Just Ask: Dean Karrel on Sales</v>
      </c>
      <c r="N44" s="147" t="str">
        <f>IFERROR(__xludf.DUMMYFUNCTION("""COMPUTED_VALUE"""),"General")</f>
        <v>General</v>
      </c>
      <c r="O44" s="141" t="str">
        <f>IFERROR(__xludf.DUMMYFUNCTION("""COMPUTED_VALUE"""),"General")</f>
        <v>General</v>
      </c>
      <c r="P44" s="143">
        <f>IFERROR(__xludf.DUMMYFUNCTION("""COMPUTED_VALUE"""),0.028148148148148148)</f>
        <v>0.02814814815</v>
      </c>
      <c r="Q44" s="151"/>
      <c r="R44" s="140"/>
      <c r="S44" s="140"/>
    </row>
    <row r="45" ht="33.75" customHeight="1">
      <c r="A45" s="140"/>
      <c r="B45" s="140"/>
      <c r="C45" s="147">
        <f>IFERROR(__xludf.DUMMYFUNCTION("""COMPUTED_VALUE"""),2837270.0)</f>
        <v>2837270</v>
      </c>
      <c r="D45" s="148" t="str">
        <f>IFERROR(__xludf.DUMMYFUNCTION("""COMPUTED_VALUE"""),"The Undercover Economist: The Economics behind Everyday Decisions (Blinkist Summary)")</f>
        <v>The Undercover Economist: The Economics behind Everyday Decisions (Blinkist Summary)</v>
      </c>
      <c r="E45" s="147" t="str">
        <f>IFERROR(__xludf.DUMMYFUNCTION("""COMPUTED_VALUE"""),"General")</f>
        <v>General</v>
      </c>
      <c r="F45" s="141" t="str">
        <f>IFERROR(__xludf.DUMMYFUNCTION("""COMPUTED_VALUE"""),"General")</f>
        <v>General</v>
      </c>
      <c r="G45" s="143">
        <f>IFERROR(__xludf.DUMMYFUNCTION("""COMPUTED_VALUE"""),0.010960648148148148)</f>
        <v>0.01096064815</v>
      </c>
      <c r="H45" s="151"/>
      <c r="I45" s="140"/>
      <c r="J45" s="140"/>
      <c r="K45" s="140"/>
      <c r="L45" s="147">
        <f>IFERROR(__xludf.DUMMYFUNCTION("""COMPUTED_VALUE"""),2804060.0)</f>
        <v>2804060</v>
      </c>
      <c r="M45" s="148" t="str">
        <f>IFERROR(__xludf.DUMMYFUNCTION("""COMPUTED_VALUE"""),"Building Customer Loyalty")</f>
        <v>Building Customer Loyalty</v>
      </c>
      <c r="N45" s="147" t="str">
        <f>IFERROR(__xludf.DUMMYFUNCTION("""COMPUTED_VALUE"""),"General")</f>
        <v>General</v>
      </c>
      <c r="O45" s="141" t="str">
        <f>IFERROR(__xludf.DUMMYFUNCTION("""COMPUTED_VALUE"""),"Intermediate")</f>
        <v>Intermediate</v>
      </c>
      <c r="P45" s="143">
        <f>IFERROR(__xludf.DUMMYFUNCTION("""COMPUTED_VALUE"""),0.019965277777777776)</f>
        <v>0.01996527778</v>
      </c>
      <c r="Q45" s="151"/>
      <c r="R45" s="140"/>
      <c r="S45" s="140"/>
    </row>
    <row r="46" ht="33.75" customHeight="1">
      <c r="A46" s="140"/>
      <c r="B46" s="140"/>
      <c r="C46" s="147">
        <f>IFERROR(__xludf.DUMMYFUNCTION("""COMPUTED_VALUE"""),2241056.0)</f>
        <v>2241056</v>
      </c>
      <c r="D46" s="148" t="str">
        <f>IFERROR(__xludf.DUMMYFUNCTION("""COMPUTED_VALUE"""),"The Decision Makeover (getAbstract Summary)")</f>
        <v>The Decision Makeover (getAbstract Summary)</v>
      </c>
      <c r="E46" s="147" t="str">
        <f>IFERROR(__xludf.DUMMYFUNCTION("""COMPUTED_VALUE"""),"General")</f>
        <v>General</v>
      </c>
      <c r="F46" s="141" t="str">
        <f>IFERROR(__xludf.DUMMYFUNCTION("""COMPUTED_VALUE"""),"General")</f>
        <v>General</v>
      </c>
      <c r="G46" s="143">
        <f>IFERROR(__xludf.DUMMYFUNCTION("""COMPUTED_VALUE"""),0.005787037037037037)</f>
        <v>0.005787037037</v>
      </c>
      <c r="H46" s="151"/>
      <c r="I46" s="140"/>
      <c r="J46" s="140"/>
      <c r="K46" s="140"/>
      <c r="L46" s="147">
        <f>IFERROR(__xludf.DUMMYFUNCTION("""COMPUTED_VALUE"""),784279.0)</f>
        <v>784279</v>
      </c>
      <c r="M46" s="148" t="str">
        <f>IFERROR(__xludf.DUMMYFUNCTION("""COMPUTED_VALUE"""),"Creating Positive Conversations with Challenging Customers")</f>
        <v>Creating Positive Conversations with Challenging Customers</v>
      </c>
      <c r="N46" s="147" t="str">
        <f>IFERROR(__xludf.DUMMYFUNCTION("""COMPUTED_VALUE"""),"General")</f>
        <v>General</v>
      </c>
      <c r="O46" s="141" t="str">
        <f>IFERROR(__xludf.DUMMYFUNCTION("""COMPUTED_VALUE"""),"Intermediate")</f>
        <v>Intermediate</v>
      </c>
      <c r="P46" s="143">
        <f>IFERROR(__xludf.DUMMYFUNCTION("""COMPUTED_VALUE"""),0.023113425925925926)</f>
        <v>0.02311342593</v>
      </c>
      <c r="Q46" s="151"/>
      <c r="R46" s="140"/>
      <c r="S46" s="140"/>
    </row>
    <row r="47" ht="33.75" customHeight="1">
      <c r="A47" s="140"/>
      <c r="B47" s="140"/>
      <c r="C47" s="147">
        <f>IFERROR(__xludf.DUMMYFUNCTION("""COMPUTED_VALUE"""),2885199.0)</f>
        <v>2885199</v>
      </c>
      <c r="D47" s="148" t="str">
        <f>IFERROR(__xludf.DUMMYFUNCTION("""COMPUTED_VALUE"""),"Critical Thinking and Problem Solving")</f>
        <v>Critical Thinking and Problem Solving</v>
      </c>
      <c r="E47" s="147" t="str">
        <f>IFERROR(__xludf.DUMMYFUNCTION("""COMPUTED_VALUE"""),"General")</f>
        <v>General</v>
      </c>
      <c r="F47" s="141" t="str">
        <f>IFERROR(__xludf.DUMMYFUNCTION("""COMPUTED_VALUE"""),"General")</f>
        <v>General</v>
      </c>
      <c r="G47" s="143">
        <f>IFERROR(__xludf.DUMMYFUNCTION("""COMPUTED_VALUE"""),0.031435185185185184)</f>
        <v>0.03143518519</v>
      </c>
      <c r="H47" s="151"/>
      <c r="I47" s="140"/>
      <c r="J47" s="140"/>
      <c r="K47" s="140"/>
      <c r="L47" s="147">
        <f>IFERROR(__xludf.DUMMYFUNCTION("""COMPUTED_VALUE"""),748569.0)</f>
        <v>748569</v>
      </c>
      <c r="M47" s="148" t="str">
        <f>IFERROR(__xludf.DUMMYFUNCTION("""COMPUTED_VALUE"""),"Customer Experience: Journey Mapping")</f>
        <v>Customer Experience: Journey Mapping</v>
      </c>
      <c r="N47" s="147" t="str">
        <f>IFERROR(__xludf.DUMMYFUNCTION("""COMPUTED_VALUE"""),"General")</f>
        <v>General</v>
      </c>
      <c r="O47" s="141" t="str">
        <f>IFERROR(__xludf.DUMMYFUNCTION("""COMPUTED_VALUE"""),"Intermediate")</f>
        <v>Intermediate</v>
      </c>
      <c r="P47" s="143">
        <f>IFERROR(__xludf.DUMMYFUNCTION("""COMPUTED_VALUE"""),0.0349537037037037)</f>
        <v>0.0349537037</v>
      </c>
      <c r="Q47" s="151"/>
      <c r="R47" s="140"/>
      <c r="S47" s="140"/>
    </row>
    <row r="48" ht="33.75" customHeight="1">
      <c r="A48" s="140"/>
      <c r="B48" s="140"/>
      <c r="C48" s="147">
        <f>IFERROR(__xludf.DUMMYFUNCTION("""COMPUTED_VALUE"""),2423502.0)</f>
        <v>2423502</v>
      </c>
      <c r="D48" s="148" t="str">
        <f>IFERROR(__xludf.DUMMYFUNCTION("""COMPUTED_VALUE"""),"Creativity at Work: A Short Course from Seth Godin")</f>
        <v>Creativity at Work: A Short Course from Seth Godin</v>
      </c>
      <c r="E48" s="147" t="str">
        <f>IFERROR(__xludf.DUMMYFUNCTION("""COMPUTED_VALUE"""),"General")</f>
        <v>General</v>
      </c>
      <c r="F48" s="141" t="str">
        <f>IFERROR(__xludf.DUMMYFUNCTION("""COMPUTED_VALUE"""),"General")</f>
        <v>General</v>
      </c>
      <c r="G48" s="143">
        <f>IFERROR(__xludf.DUMMYFUNCTION("""COMPUTED_VALUE"""),0.02634259259259259)</f>
        <v>0.02634259259</v>
      </c>
      <c r="H48" s="151"/>
      <c r="I48" s="140"/>
      <c r="J48" s="140"/>
      <c r="K48" s="140"/>
      <c r="L48" s="147">
        <f>IFERROR(__xludf.DUMMYFUNCTION("""COMPUTED_VALUE"""),791341.0)</f>
        <v>791341</v>
      </c>
      <c r="M48" s="148" t="str">
        <f>IFERROR(__xludf.DUMMYFUNCTION("""COMPUTED_VALUE"""),"Customer Experience: Service Blueprinting")</f>
        <v>Customer Experience: Service Blueprinting</v>
      </c>
      <c r="N48" s="147" t="str">
        <f>IFERROR(__xludf.DUMMYFUNCTION("""COMPUTED_VALUE"""),"General")</f>
        <v>General</v>
      </c>
      <c r="O48" s="141" t="str">
        <f>IFERROR(__xludf.DUMMYFUNCTION("""COMPUTED_VALUE"""),"Intermediate")</f>
        <v>Intermediate</v>
      </c>
      <c r="P48" s="143">
        <f>IFERROR(__xludf.DUMMYFUNCTION("""COMPUTED_VALUE"""),0.02267361111111111)</f>
        <v>0.02267361111</v>
      </c>
      <c r="Q48" s="151"/>
      <c r="R48" s="140"/>
      <c r="S48" s="140"/>
    </row>
    <row r="49" ht="33.75" customHeight="1">
      <c r="A49" s="140"/>
      <c r="B49" s="140"/>
      <c r="C49" s="147">
        <f>IFERROR(__xludf.DUMMYFUNCTION("""COMPUTED_VALUE"""),2882045.0)</f>
        <v>2882045</v>
      </c>
      <c r="D49" s="148" t="str">
        <f>IFERROR(__xludf.DUMMYFUNCTION("""COMPUTED_VALUE"""),"Think Like a Lawyer to Make Decisions and Solve Problems")</f>
        <v>Think Like a Lawyer to Make Decisions and Solve Problems</v>
      </c>
      <c r="E49" s="147" t="str">
        <f>IFERROR(__xludf.DUMMYFUNCTION("""COMPUTED_VALUE"""),"General")</f>
        <v>General</v>
      </c>
      <c r="F49" s="141" t="str">
        <f>IFERROR(__xludf.DUMMYFUNCTION("""COMPUTED_VALUE"""),"General")</f>
        <v>General</v>
      </c>
      <c r="G49" s="143">
        <f>IFERROR(__xludf.DUMMYFUNCTION("""COMPUTED_VALUE"""),0.019363425925925926)</f>
        <v>0.01936342593</v>
      </c>
      <c r="H49" s="151"/>
      <c r="I49" s="140"/>
      <c r="J49" s="140"/>
      <c r="K49" s="140"/>
      <c r="L49" s="147">
        <f>IFERROR(__xludf.DUMMYFUNCTION("""COMPUTED_VALUE"""),802825.0)</f>
        <v>802825</v>
      </c>
      <c r="M49" s="148" t="str">
        <f>IFERROR(__xludf.DUMMYFUNCTION("""COMPUTED_VALUE"""),"Customer Service: Motivating Your Team")</f>
        <v>Customer Service: Motivating Your Team</v>
      </c>
      <c r="N49" s="147" t="str">
        <f>IFERROR(__xludf.DUMMYFUNCTION("""COMPUTED_VALUE"""),"General")</f>
        <v>General</v>
      </c>
      <c r="O49" s="141" t="str">
        <f>IFERROR(__xludf.DUMMYFUNCTION("""COMPUTED_VALUE"""),"Intermediate")</f>
        <v>Intermediate</v>
      </c>
      <c r="P49" s="143">
        <f>IFERROR(__xludf.DUMMYFUNCTION("""COMPUTED_VALUE"""),0.037731481481481484)</f>
        <v>0.03773148148</v>
      </c>
      <c r="Q49" s="151"/>
      <c r="R49" s="140"/>
      <c r="S49" s="140"/>
    </row>
    <row r="50" ht="33.75" customHeight="1">
      <c r="A50" s="140"/>
      <c r="B50" s="140"/>
      <c r="C50" s="147">
        <f>IFERROR(__xludf.DUMMYFUNCTION("""COMPUTED_VALUE"""),3010106.0)</f>
        <v>3010106</v>
      </c>
      <c r="D50" s="148" t="str">
        <f>IFERROR(__xludf.DUMMYFUNCTION("""COMPUTED_VALUE"""),"Smarter Faster Better (Blinkist Summary)")</f>
        <v>Smarter Faster Better (Blinkist Summary)</v>
      </c>
      <c r="E50" s="147" t="str">
        <f>IFERROR(__xludf.DUMMYFUNCTION("""COMPUTED_VALUE"""),"General")</f>
        <v>General</v>
      </c>
      <c r="F50" s="141" t="str">
        <f>IFERROR(__xludf.DUMMYFUNCTION("""COMPUTED_VALUE"""),"General")</f>
        <v>General</v>
      </c>
      <c r="G50" s="143">
        <f>IFERROR(__xludf.DUMMYFUNCTION("""COMPUTED_VALUE"""),0.009756944444444445)</f>
        <v>0.009756944444</v>
      </c>
      <c r="H50" s="151"/>
      <c r="I50" s="140"/>
      <c r="J50" s="140"/>
      <c r="K50" s="140"/>
      <c r="L50" s="147">
        <f>IFERROR(__xludf.DUMMYFUNCTION("""COMPUTED_VALUE"""),191342.0)</f>
        <v>191342</v>
      </c>
      <c r="M50" s="148" t="str">
        <f>IFERROR(__xludf.DUMMYFUNCTION("""COMPUTED_VALUE"""),"Innovative Customer Service Techniques")</f>
        <v>Innovative Customer Service Techniques</v>
      </c>
      <c r="N50" s="147" t="str">
        <f>IFERROR(__xludf.DUMMYFUNCTION("""COMPUTED_VALUE"""),"General")</f>
        <v>General</v>
      </c>
      <c r="O50" s="141" t="str">
        <f>IFERROR(__xludf.DUMMYFUNCTION("""COMPUTED_VALUE"""),"Intermediate")</f>
        <v>Intermediate</v>
      </c>
      <c r="P50" s="143">
        <f>IFERROR(__xludf.DUMMYFUNCTION("""COMPUTED_VALUE"""),0.030104166666666668)</f>
        <v>0.03010416667</v>
      </c>
      <c r="Q50" s="151"/>
      <c r="R50" s="140"/>
      <c r="S50" s="140"/>
    </row>
    <row r="51" ht="33.75" customHeight="1">
      <c r="A51" s="140"/>
      <c r="B51" s="140"/>
      <c r="C51" s="147">
        <f>IFERROR(__xludf.DUMMYFUNCTION("""COMPUTED_VALUE"""),3010107.0)</f>
        <v>3010107</v>
      </c>
      <c r="D51" s="148" t="str">
        <f>IFERROR(__xludf.DUMMYFUNCTION("""COMPUTED_VALUE"""),"Thinking, Fast and Slow (Blinkist Summary)")</f>
        <v>Thinking, Fast and Slow (Blinkist Summary)</v>
      </c>
      <c r="E51" s="147" t="str">
        <f>IFERROR(__xludf.DUMMYFUNCTION("""COMPUTED_VALUE"""),"General")</f>
        <v>General</v>
      </c>
      <c r="F51" s="141" t="str">
        <f>IFERROR(__xludf.DUMMYFUNCTION("""COMPUTED_VALUE"""),"General")</f>
        <v>General</v>
      </c>
      <c r="G51" s="143">
        <f>IFERROR(__xludf.DUMMYFUNCTION("""COMPUTED_VALUE"""),0.019375)</f>
        <v>0.019375</v>
      </c>
      <c r="H51" s="151"/>
      <c r="I51" s="140"/>
      <c r="J51" s="140"/>
      <c r="K51" s="140"/>
      <c r="L51" s="147">
        <f>IFERROR(__xludf.DUMMYFUNCTION("""COMPUTED_VALUE"""),693077.0)</f>
        <v>693077</v>
      </c>
      <c r="M51" s="148" t="str">
        <f>IFERROR(__xludf.DUMMYFUNCTION("""COMPUTED_VALUE"""),"Leading a Customer-Centric Culture")</f>
        <v>Leading a Customer-Centric Culture</v>
      </c>
      <c r="N51" s="147" t="str">
        <f>IFERROR(__xludf.DUMMYFUNCTION("""COMPUTED_VALUE"""),"General")</f>
        <v>General</v>
      </c>
      <c r="O51" s="141" t="str">
        <f>IFERROR(__xludf.DUMMYFUNCTION("""COMPUTED_VALUE"""),"Intermediate")</f>
        <v>Intermediate</v>
      </c>
      <c r="P51" s="143">
        <f>IFERROR(__xludf.DUMMYFUNCTION("""COMPUTED_VALUE"""),0.02533564814814815)</f>
        <v>0.02533564815</v>
      </c>
      <c r="Q51" s="151"/>
      <c r="R51" s="140"/>
      <c r="S51" s="140"/>
    </row>
    <row r="52" ht="33.75" customHeight="1">
      <c r="A52" s="140"/>
      <c r="B52" s="140"/>
      <c r="C52" s="147">
        <f>IFERROR(__xludf.DUMMYFUNCTION("""COMPUTED_VALUE"""),2424406.0)</f>
        <v>2424406</v>
      </c>
      <c r="D52" s="148" t="str">
        <f>IFERROR(__xludf.DUMMYFUNCTION("""COMPUTED_VALUE"""),"Overcome Overthinking")</f>
        <v>Overcome Overthinking</v>
      </c>
      <c r="E52" s="147" t="str">
        <f>IFERROR(__xludf.DUMMYFUNCTION("""COMPUTED_VALUE"""),"General")</f>
        <v>General</v>
      </c>
      <c r="F52" s="141" t="str">
        <f>IFERROR(__xludf.DUMMYFUNCTION("""COMPUTED_VALUE"""),"General")</f>
        <v>General</v>
      </c>
      <c r="G52" s="143">
        <f>IFERROR(__xludf.DUMMYFUNCTION("""COMPUTED_VALUE"""),0.025324074074074075)</f>
        <v>0.02532407407</v>
      </c>
      <c r="H52" s="151"/>
      <c r="I52" s="140"/>
      <c r="J52" s="140"/>
      <c r="K52" s="140"/>
      <c r="L52" s="147">
        <f>IFERROR(__xludf.DUMMYFUNCTION("""COMPUTED_VALUE"""),167069.0)</f>
        <v>167069</v>
      </c>
      <c r="M52" s="148" t="str">
        <f>IFERROR(__xludf.DUMMYFUNCTION("""COMPUTED_VALUE"""),"Managing a Customer Service Team")</f>
        <v>Managing a Customer Service Team</v>
      </c>
      <c r="N52" s="147" t="str">
        <f>IFERROR(__xludf.DUMMYFUNCTION("""COMPUTED_VALUE"""),"General")</f>
        <v>General</v>
      </c>
      <c r="O52" s="141" t="str">
        <f>IFERROR(__xludf.DUMMYFUNCTION("""COMPUTED_VALUE"""),"Intermediate")</f>
        <v>Intermediate</v>
      </c>
      <c r="P52" s="143">
        <f>IFERROR(__xludf.DUMMYFUNCTION("""COMPUTED_VALUE"""),0.04207175925925926)</f>
        <v>0.04207175926</v>
      </c>
      <c r="Q52" s="151"/>
      <c r="R52" s="140"/>
      <c r="S52" s="140"/>
    </row>
    <row r="53" ht="33.75" customHeight="1">
      <c r="A53" s="140"/>
      <c r="B53" s="140"/>
      <c r="C53" s="147">
        <f>IFERROR(__xludf.DUMMYFUNCTION("""COMPUTED_VALUE"""),2428701.0)</f>
        <v>2428701</v>
      </c>
      <c r="D53" s="148" t="str">
        <f>IFERROR(__xludf.DUMMYFUNCTION("""COMPUTED_VALUE"""),"Dan Ariely on Making Decisions")</f>
        <v>Dan Ariely on Making Decisions</v>
      </c>
      <c r="E53" s="147" t="str">
        <f>IFERROR(__xludf.DUMMYFUNCTION("""COMPUTED_VALUE"""),"General")</f>
        <v>General</v>
      </c>
      <c r="F53" s="141" t="str">
        <f>IFERROR(__xludf.DUMMYFUNCTION("""COMPUTED_VALUE"""),"General")</f>
        <v>General</v>
      </c>
      <c r="G53" s="143">
        <f>IFERROR(__xludf.DUMMYFUNCTION("""COMPUTED_VALUE"""),0.040150462962962964)</f>
        <v>0.04015046296</v>
      </c>
      <c r="H53" s="151"/>
      <c r="I53" s="140"/>
      <c r="J53" s="140"/>
      <c r="K53" s="140"/>
      <c r="L53" s="147">
        <f>IFERROR(__xludf.DUMMYFUNCTION("""COMPUTED_VALUE"""),191340.0)</f>
        <v>191340</v>
      </c>
      <c r="M53" s="148" t="str">
        <f>IFERROR(__xludf.DUMMYFUNCTION("""COMPUTED_VALUE"""),"Working with Upset Customers")</f>
        <v>Working with Upset Customers</v>
      </c>
      <c r="N53" s="147" t="str">
        <f>IFERROR(__xludf.DUMMYFUNCTION("""COMPUTED_VALUE"""),"General")</f>
        <v>General</v>
      </c>
      <c r="O53" s="141" t="str">
        <f>IFERROR(__xludf.DUMMYFUNCTION("""COMPUTED_VALUE"""),"Intermediate")</f>
        <v>Intermediate</v>
      </c>
      <c r="P53" s="143">
        <f>IFERROR(__xludf.DUMMYFUNCTION("""COMPUTED_VALUE"""),0.03818287037037037)</f>
        <v>0.03818287037</v>
      </c>
      <c r="Q53" s="151"/>
      <c r="R53" s="140"/>
      <c r="S53" s="140"/>
    </row>
    <row r="54" ht="33.75" customHeight="1">
      <c r="A54" s="140"/>
      <c r="B54" s="140"/>
      <c r="C54" s="147">
        <f>IFERROR(__xludf.DUMMYFUNCTION("""COMPUTED_VALUE"""),753898.0)</f>
        <v>753898</v>
      </c>
      <c r="D54" s="148" t="str">
        <f>IFERROR(__xludf.DUMMYFUNCTION("""COMPUTED_VALUE"""),"Cultivating Mental Agility")</f>
        <v>Cultivating Mental Agility</v>
      </c>
      <c r="E54" s="147" t="str">
        <f>IFERROR(__xludf.DUMMYFUNCTION("""COMPUTED_VALUE"""),"General")</f>
        <v>General</v>
      </c>
      <c r="F54" s="141" t="str">
        <f>IFERROR(__xludf.DUMMYFUNCTION("""COMPUTED_VALUE"""),"Intermediate")</f>
        <v>Intermediate</v>
      </c>
      <c r="G54" s="143">
        <f>IFERROR(__xludf.DUMMYFUNCTION("""COMPUTED_VALUE"""),0.025277777777777777)</f>
        <v>0.02527777778</v>
      </c>
      <c r="H54" s="151"/>
      <c r="I54" s="140"/>
      <c r="J54" s="140"/>
      <c r="K54" s="140"/>
      <c r="L54" s="147">
        <f>IFERROR(__xludf.DUMMYFUNCTION("""COMPUTED_VALUE"""),2815148.0)</f>
        <v>2815148</v>
      </c>
      <c r="M54" s="148" t="str">
        <f>IFERROR(__xludf.DUMMYFUNCTION("""COMPUTED_VALUE"""),"Aligning Customer Experience with Company Culture")</f>
        <v>Aligning Customer Experience with Company Culture</v>
      </c>
      <c r="N54" s="147" t="str">
        <f>IFERROR(__xludf.DUMMYFUNCTION("""COMPUTED_VALUE"""),"General")</f>
        <v>General</v>
      </c>
      <c r="O54" s="141" t="str">
        <f>IFERROR(__xludf.DUMMYFUNCTION("""COMPUTED_VALUE"""),"Intermediate")</f>
        <v>Intermediate</v>
      </c>
      <c r="P54" s="143">
        <f>IFERROR(__xludf.DUMMYFUNCTION("""COMPUTED_VALUE"""),0.027256944444444445)</f>
        <v>0.02725694444</v>
      </c>
      <c r="Q54" s="151"/>
      <c r="R54" s="140"/>
      <c r="S54" s="140"/>
    </row>
    <row r="55" ht="33.75" customHeight="1">
      <c r="A55" s="140"/>
      <c r="B55" s="140"/>
      <c r="C55" s="147">
        <f>IFERROR(__xludf.DUMMYFUNCTION("""COMPUTED_VALUE"""),2972405.0)</f>
        <v>2972405</v>
      </c>
      <c r="D55" s="148" t="str">
        <f>IFERROR(__xludf.DUMMYFUNCTION("""COMPUTED_VALUE"""),"Decision-Making in High-Stress Situations")</f>
        <v>Decision-Making in High-Stress Situations</v>
      </c>
      <c r="E55" s="147" t="str">
        <f>IFERROR(__xludf.DUMMYFUNCTION("""COMPUTED_VALUE"""),"General")</f>
        <v>General</v>
      </c>
      <c r="F55" s="141" t="str">
        <f>IFERROR(__xludf.DUMMYFUNCTION("""COMPUTED_VALUE"""),"Intermediate")</f>
        <v>Intermediate</v>
      </c>
      <c r="G55" s="143">
        <f>IFERROR(__xludf.DUMMYFUNCTION("""COMPUTED_VALUE"""),0.02539351851851852)</f>
        <v>0.02539351852</v>
      </c>
      <c r="H55" s="151"/>
      <c r="I55" s="140"/>
      <c r="J55" s="140"/>
      <c r="K55" s="140"/>
      <c r="L55" s="147">
        <f>IFERROR(__xludf.DUMMYFUNCTION("""COMPUTED_VALUE"""),2254038.0)</f>
        <v>2254038</v>
      </c>
      <c r="M55" s="148" t="str">
        <f>IFERROR(__xludf.DUMMYFUNCTION("""COMPUTED_VALUE"""),"Customer Service Using AI and Machine Learning")</f>
        <v>Customer Service Using AI and Machine Learning</v>
      </c>
      <c r="N55" s="147" t="str">
        <f>IFERROR(__xludf.DUMMYFUNCTION("""COMPUTED_VALUE"""),"General")</f>
        <v>General</v>
      </c>
      <c r="O55" s="141" t="str">
        <f>IFERROR(__xludf.DUMMYFUNCTION("""COMPUTED_VALUE"""),"Intermediate")</f>
        <v>Intermediate</v>
      </c>
      <c r="P55" s="143">
        <f>IFERROR(__xludf.DUMMYFUNCTION("""COMPUTED_VALUE"""),0.04465277777777778)</f>
        <v>0.04465277778</v>
      </c>
      <c r="Q55" s="151"/>
      <c r="R55" s="140"/>
      <c r="S55" s="140"/>
    </row>
    <row r="56" ht="33.75" customHeight="1">
      <c r="A56" s="140"/>
      <c r="B56" s="140"/>
      <c r="C56" s="147">
        <f>IFERROR(__xludf.DUMMYFUNCTION("""COMPUTED_VALUE"""),2876175.0)</f>
        <v>2876175</v>
      </c>
      <c r="D56" s="148" t="str">
        <f>IFERROR(__xludf.DUMMYFUNCTION("""COMPUTED_VALUE"""),"How to Fix Bad Agile")</f>
        <v>How to Fix Bad Agile</v>
      </c>
      <c r="E56" s="147" t="str">
        <f>IFERROR(__xludf.DUMMYFUNCTION("""COMPUTED_VALUE"""),"General")</f>
        <v>General</v>
      </c>
      <c r="F56" s="141" t="str">
        <f>IFERROR(__xludf.DUMMYFUNCTION("""COMPUTED_VALUE"""),"Intermediate")</f>
        <v>Intermediate</v>
      </c>
      <c r="G56" s="143">
        <f>IFERROR(__xludf.DUMMYFUNCTION("""COMPUTED_VALUE"""),0.04106481481481482)</f>
        <v>0.04106481481</v>
      </c>
      <c r="H56" s="151"/>
      <c r="I56" s="140"/>
      <c r="J56" s="140"/>
      <c r="K56" s="140"/>
      <c r="L56" s="147">
        <f>IFERROR(__xludf.DUMMYFUNCTION("""COMPUTED_VALUE"""),2813275.0)</f>
        <v>2813275</v>
      </c>
      <c r="M56" s="148" t="str">
        <f>IFERROR(__xludf.DUMMYFUNCTION("""COMPUTED_VALUE"""),"Customer Service: Serving Customers Through Chat and Text")</f>
        <v>Customer Service: Serving Customers Through Chat and Text</v>
      </c>
      <c r="N56" s="147" t="str">
        <f>IFERROR(__xludf.DUMMYFUNCTION("""COMPUTED_VALUE"""),"General")</f>
        <v>General</v>
      </c>
      <c r="O56" s="141" t="str">
        <f>IFERROR(__xludf.DUMMYFUNCTION("""COMPUTED_VALUE"""),"Intermediate")</f>
        <v>Intermediate</v>
      </c>
      <c r="P56" s="143">
        <f>IFERROR(__xludf.DUMMYFUNCTION("""COMPUTED_VALUE"""),0.02673611111111111)</f>
        <v>0.02673611111</v>
      </c>
      <c r="Q56" s="151"/>
      <c r="R56" s="140"/>
      <c r="S56" s="140"/>
    </row>
    <row r="57" ht="33.75" customHeight="1">
      <c r="A57" s="140"/>
      <c r="B57" s="140"/>
      <c r="C57" s="147"/>
      <c r="D57" s="153"/>
      <c r="E57" s="147"/>
      <c r="F57" s="141"/>
      <c r="G57" s="141"/>
      <c r="H57" s="151"/>
      <c r="I57" s="140"/>
      <c r="J57" s="140"/>
      <c r="K57" s="140"/>
      <c r="L57" s="147">
        <f>IFERROR(__xludf.DUMMYFUNCTION("""COMPUTED_VALUE"""),2815115.0)</f>
        <v>2815115</v>
      </c>
      <c r="M57" s="148" t="str">
        <f>IFERROR(__xludf.DUMMYFUNCTION("""COMPUTED_VALUE"""),"Serving Customers Using Social Media")</f>
        <v>Serving Customers Using Social Media</v>
      </c>
      <c r="N57" s="147" t="str">
        <f>IFERROR(__xludf.DUMMYFUNCTION("""COMPUTED_VALUE"""),"General")</f>
        <v>General</v>
      </c>
      <c r="O57" s="141" t="str">
        <f>IFERROR(__xludf.DUMMYFUNCTION("""COMPUTED_VALUE"""),"Intermediate")</f>
        <v>Intermediate</v>
      </c>
      <c r="P57" s="143">
        <f>IFERROR(__xludf.DUMMYFUNCTION("""COMPUTED_VALUE"""),0.037974537037037036)</f>
        <v>0.03797453704</v>
      </c>
      <c r="Q57" s="151"/>
      <c r="R57" s="140"/>
      <c r="S57" s="140"/>
    </row>
    <row r="58" ht="33.75" customHeight="1">
      <c r="A58" s="140"/>
      <c r="B58" s="140"/>
      <c r="C58" s="147"/>
      <c r="D58" s="153"/>
      <c r="E58" s="147"/>
      <c r="F58" s="141"/>
      <c r="G58" s="141"/>
      <c r="H58" s="151"/>
      <c r="I58" s="140"/>
      <c r="J58" s="140"/>
      <c r="K58" s="140"/>
      <c r="L58" s="147">
        <f>IFERROR(__xludf.DUMMYFUNCTION("""COMPUTED_VALUE"""),2975167.0)</f>
        <v>2975167</v>
      </c>
      <c r="M58" s="148" t="str">
        <f>IFERROR(__xludf.DUMMYFUNCTION("""COMPUTED_VALUE"""),"Leading a Customer Service Team")</f>
        <v>Leading a Customer Service Team</v>
      </c>
      <c r="N58" s="147" t="str">
        <f>IFERROR(__xludf.DUMMYFUNCTION("""COMPUTED_VALUE"""),"General")</f>
        <v>General</v>
      </c>
      <c r="O58" s="141" t="str">
        <f>IFERROR(__xludf.DUMMYFUNCTION("""COMPUTED_VALUE"""),"Intermediate")</f>
        <v>Intermediate</v>
      </c>
      <c r="P58" s="143">
        <f>IFERROR(__xludf.DUMMYFUNCTION("""COMPUTED_VALUE"""),0.03025462962962963)</f>
        <v>0.03025462963</v>
      </c>
      <c r="Q58" s="151"/>
      <c r="R58" s="140"/>
      <c r="S58" s="140"/>
    </row>
    <row r="59" ht="33.75" customHeight="1">
      <c r="A59" s="140"/>
      <c r="B59" s="140"/>
      <c r="C59" s="147"/>
      <c r="D59" s="153"/>
      <c r="E59" s="147"/>
      <c r="F59" s="141"/>
      <c r="G59" s="141"/>
      <c r="H59" s="151"/>
      <c r="I59" s="140"/>
      <c r="J59" s="140"/>
      <c r="K59" s="140"/>
      <c r="L59" s="147">
        <f>IFERROR(__xludf.DUMMYFUNCTION("""COMPUTED_VALUE"""),2802470.0)</f>
        <v>2802470</v>
      </c>
      <c r="M59" s="148" t="str">
        <f>IFERROR(__xludf.DUMMYFUNCTION("""COMPUTED_VALUE"""),"A Design Thinking Approach to Putting the Customer First")</f>
        <v>A Design Thinking Approach to Putting the Customer First</v>
      </c>
      <c r="N59" s="147" t="str">
        <f>IFERROR(__xludf.DUMMYFUNCTION("""COMPUTED_VALUE"""),"General")</f>
        <v>General</v>
      </c>
      <c r="O59" s="141" t="str">
        <f>IFERROR(__xludf.DUMMYFUNCTION("""COMPUTED_VALUE"""),"Intermediate")</f>
        <v>Intermediate</v>
      </c>
      <c r="P59" s="143">
        <f>IFERROR(__xludf.DUMMYFUNCTION("""COMPUTED_VALUE"""),0.01884259259259259)</f>
        <v>0.01884259259</v>
      </c>
      <c r="Q59" s="151"/>
      <c r="R59" s="140"/>
      <c r="S59" s="140"/>
    </row>
    <row r="60" ht="33.75" customHeight="1">
      <c r="A60" s="140"/>
      <c r="B60" s="140"/>
      <c r="C60" s="147"/>
      <c r="D60" s="153"/>
      <c r="E60" s="147"/>
      <c r="F60" s="141"/>
      <c r="G60" s="141"/>
      <c r="H60" s="151"/>
      <c r="I60" s="140"/>
      <c r="J60" s="140"/>
      <c r="K60" s="140"/>
      <c r="L60" s="147">
        <f>IFERROR(__xludf.DUMMYFUNCTION("""COMPUTED_VALUE"""),697710.0)</f>
        <v>697710</v>
      </c>
      <c r="M60" s="148" t="str">
        <f>IFERROR(__xludf.DUMMYFUNCTION("""COMPUTED_VALUE"""),"Business Development Foundations: Researching Market and Customer Needs")</f>
        <v>Business Development Foundations: Researching Market and Customer Needs</v>
      </c>
      <c r="N60" s="147" t="str">
        <f>IFERROR(__xludf.DUMMYFUNCTION("""COMPUTED_VALUE"""),"General")</f>
        <v>General</v>
      </c>
      <c r="O60" s="141" t="str">
        <f>IFERROR(__xludf.DUMMYFUNCTION("""COMPUTED_VALUE"""),"Intermediate")</f>
        <v>Intermediate</v>
      </c>
      <c r="P60" s="143">
        <f>IFERROR(__xludf.DUMMYFUNCTION("""COMPUTED_VALUE"""),0.0428125)</f>
        <v>0.0428125</v>
      </c>
      <c r="Q60" s="151"/>
      <c r="R60" s="140"/>
      <c r="S60" s="140"/>
    </row>
    <row r="61" ht="33.75" customHeight="1">
      <c r="A61" s="140"/>
      <c r="B61" s="140"/>
      <c r="C61" s="147"/>
      <c r="D61" s="153"/>
      <c r="E61" s="147"/>
      <c r="F61" s="141"/>
      <c r="G61" s="141"/>
      <c r="H61" s="151"/>
      <c r="I61" s="140"/>
      <c r="J61" s="140"/>
      <c r="K61" s="140"/>
      <c r="L61" s="147">
        <f>IFERROR(__xludf.DUMMYFUNCTION("""COMPUTED_VALUE"""),2832061.0)</f>
        <v>2832061</v>
      </c>
      <c r="M61" s="148" t="str">
        <f>IFERROR(__xludf.DUMMYFUNCTION("""COMPUTED_VALUE"""),"Customer Service: Knowledge Management")</f>
        <v>Customer Service: Knowledge Management</v>
      </c>
      <c r="N61" s="147" t="str">
        <f>IFERROR(__xludf.DUMMYFUNCTION("""COMPUTED_VALUE"""),"General")</f>
        <v>General</v>
      </c>
      <c r="O61" s="141" t="str">
        <f>IFERROR(__xludf.DUMMYFUNCTION("""COMPUTED_VALUE"""),"Intermediate")</f>
        <v>Intermediate</v>
      </c>
      <c r="P61" s="143">
        <f>IFERROR(__xludf.DUMMYFUNCTION("""COMPUTED_VALUE"""),0.03791666666666667)</f>
        <v>0.03791666667</v>
      </c>
      <c r="Q61" s="151"/>
      <c r="R61" s="140"/>
      <c r="S61" s="140"/>
    </row>
    <row r="62" ht="33.75" customHeight="1">
      <c r="A62" s="140"/>
      <c r="B62" s="140"/>
      <c r="C62" s="147"/>
      <c r="D62" s="153"/>
      <c r="E62" s="147"/>
      <c r="F62" s="141"/>
      <c r="G62" s="141"/>
      <c r="H62" s="151"/>
      <c r="I62" s="140"/>
      <c r="J62" s="140"/>
      <c r="K62" s="140"/>
      <c r="L62" s="147"/>
      <c r="M62" s="153"/>
      <c r="N62" s="147"/>
      <c r="O62" s="141"/>
      <c r="P62" s="141"/>
      <c r="Q62" s="151"/>
      <c r="R62" s="140"/>
      <c r="S62" s="140"/>
    </row>
    <row r="63" ht="33.75" customHeight="1">
      <c r="A63" s="140"/>
      <c r="B63" s="140"/>
      <c r="C63" s="147"/>
      <c r="D63" s="153"/>
      <c r="E63" s="147"/>
      <c r="F63" s="141"/>
      <c r="G63" s="141"/>
      <c r="H63" s="151"/>
      <c r="I63" s="140"/>
      <c r="J63" s="140"/>
      <c r="K63" s="140"/>
      <c r="L63" s="147"/>
      <c r="M63" s="153"/>
      <c r="N63" s="147"/>
      <c r="O63" s="141"/>
      <c r="P63" s="141"/>
      <c r="Q63" s="151"/>
      <c r="R63" s="140"/>
      <c r="S63" s="140"/>
    </row>
    <row r="64" ht="33.75" customHeight="1">
      <c r="A64" s="140"/>
      <c r="B64" s="140"/>
      <c r="C64" s="147"/>
      <c r="D64" s="153"/>
      <c r="E64" s="147"/>
      <c r="F64" s="141"/>
      <c r="G64" s="141"/>
      <c r="H64" s="151"/>
      <c r="I64" s="140"/>
      <c r="J64" s="140"/>
      <c r="K64" s="140"/>
      <c r="L64" s="147"/>
      <c r="M64" s="153"/>
      <c r="N64" s="147"/>
      <c r="O64" s="141"/>
      <c r="P64" s="141"/>
      <c r="Q64" s="151"/>
      <c r="R64" s="140"/>
      <c r="S64" s="140"/>
    </row>
    <row r="65" ht="33.75" customHeight="1">
      <c r="A65" s="140"/>
      <c r="B65" s="140"/>
      <c r="C65" s="147"/>
      <c r="D65" s="153"/>
      <c r="E65" s="147"/>
      <c r="F65" s="141"/>
      <c r="G65" s="141"/>
      <c r="H65" s="151"/>
      <c r="I65" s="140"/>
      <c r="J65" s="140"/>
      <c r="K65" s="140"/>
      <c r="L65" s="147"/>
      <c r="M65" s="153"/>
      <c r="N65" s="147"/>
      <c r="O65" s="141"/>
      <c r="P65" s="141"/>
      <c r="Q65" s="151"/>
      <c r="R65" s="140"/>
      <c r="S65" s="140"/>
    </row>
    <row r="66" ht="33.75" customHeight="1">
      <c r="A66" s="140"/>
      <c r="B66" s="140"/>
      <c r="C66" s="147"/>
      <c r="D66" s="153"/>
      <c r="E66" s="147"/>
      <c r="F66" s="141"/>
      <c r="G66" s="141"/>
      <c r="H66" s="151"/>
      <c r="I66" s="140"/>
      <c r="J66" s="140"/>
      <c r="K66" s="140"/>
      <c r="L66" s="147"/>
      <c r="M66" s="153"/>
      <c r="N66" s="147"/>
      <c r="O66" s="141"/>
      <c r="P66" s="141"/>
      <c r="Q66" s="151"/>
      <c r="R66" s="140"/>
      <c r="S66" s="140"/>
    </row>
    <row r="67" ht="33.75" customHeight="1">
      <c r="A67" s="140"/>
      <c r="B67" s="140"/>
      <c r="C67" s="147"/>
      <c r="D67" s="153"/>
      <c r="E67" s="147"/>
      <c r="F67" s="141"/>
      <c r="G67" s="141"/>
      <c r="H67" s="151"/>
      <c r="I67" s="140"/>
      <c r="J67" s="140"/>
      <c r="K67" s="140"/>
      <c r="L67" s="147"/>
      <c r="M67" s="153"/>
      <c r="N67" s="147"/>
      <c r="O67" s="141"/>
      <c r="P67" s="141"/>
      <c r="Q67" s="151"/>
      <c r="R67" s="140"/>
      <c r="S67" s="140"/>
    </row>
    <row r="68" ht="33.75" customHeight="1">
      <c r="A68" s="140"/>
      <c r="B68" s="140"/>
      <c r="C68" s="147"/>
      <c r="D68" s="153"/>
      <c r="E68" s="147"/>
      <c r="F68" s="141"/>
      <c r="G68" s="141"/>
      <c r="H68" s="151"/>
      <c r="I68" s="140"/>
      <c r="J68" s="140"/>
      <c r="K68" s="140"/>
      <c r="L68" s="147"/>
      <c r="M68" s="153"/>
      <c r="N68" s="147"/>
      <c r="O68" s="141"/>
      <c r="P68" s="141"/>
      <c r="Q68" s="151"/>
      <c r="R68" s="140"/>
      <c r="S68" s="140"/>
    </row>
    <row r="69" ht="33.75" customHeight="1">
      <c r="A69" s="140"/>
      <c r="B69" s="140"/>
      <c r="C69" s="147"/>
      <c r="D69" s="153"/>
      <c r="E69" s="147"/>
      <c r="F69" s="141"/>
      <c r="G69" s="141"/>
      <c r="H69" s="151"/>
      <c r="I69" s="140"/>
      <c r="J69" s="140"/>
      <c r="K69" s="140"/>
      <c r="L69" s="147"/>
      <c r="M69" s="153"/>
      <c r="N69" s="147"/>
      <c r="O69" s="141"/>
      <c r="P69" s="141"/>
      <c r="Q69" s="151"/>
      <c r="R69" s="140"/>
      <c r="S69" s="140"/>
    </row>
    <row r="70" ht="33.75" customHeight="1">
      <c r="A70" s="140"/>
      <c r="B70" s="140"/>
      <c r="C70" s="147"/>
      <c r="D70" s="153"/>
      <c r="E70" s="147"/>
      <c r="F70" s="141"/>
      <c r="G70" s="141"/>
      <c r="H70" s="151"/>
      <c r="I70" s="140"/>
      <c r="J70" s="140"/>
      <c r="K70" s="140"/>
      <c r="L70" s="147"/>
      <c r="M70" s="153"/>
      <c r="N70" s="147"/>
      <c r="O70" s="141"/>
      <c r="P70" s="141"/>
      <c r="Q70" s="151"/>
      <c r="R70" s="140"/>
      <c r="S70" s="140"/>
    </row>
    <row r="71" ht="33.75" customHeight="1">
      <c r="A71" s="140"/>
      <c r="B71" s="140"/>
      <c r="C71" s="147"/>
      <c r="D71" s="153"/>
      <c r="E71" s="147"/>
      <c r="F71" s="141"/>
      <c r="G71" s="141"/>
      <c r="H71" s="151"/>
      <c r="I71" s="140"/>
      <c r="J71" s="140"/>
      <c r="K71" s="140"/>
      <c r="L71" s="147"/>
      <c r="M71" s="153"/>
      <c r="N71" s="147"/>
      <c r="O71" s="141"/>
      <c r="P71" s="141"/>
      <c r="Q71" s="151"/>
      <c r="R71" s="140"/>
      <c r="S71" s="140"/>
    </row>
    <row r="72" ht="33.75" customHeight="1">
      <c r="A72" s="140"/>
      <c r="B72" s="140"/>
      <c r="C72" s="147"/>
      <c r="D72" s="153"/>
      <c r="E72" s="147"/>
      <c r="F72" s="141"/>
      <c r="G72" s="141"/>
      <c r="H72" s="151"/>
      <c r="I72" s="140"/>
      <c r="J72" s="140"/>
      <c r="K72" s="140"/>
      <c r="L72" s="147"/>
      <c r="M72" s="153"/>
      <c r="N72" s="147"/>
      <c r="O72" s="141"/>
      <c r="P72" s="141"/>
      <c r="Q72" s="151"/>
      <c r="R72" s="140"/>
      <c r="S72" s="140"/>
    </row>
    <row r="73" ht="33.75" customHeight="1">
      <c r="A73" s="140"/>
      <c r="B73" s="140"/>
      <c r="C73" s="147"/>
      <c r="D73" s="153"/>
      <c r="E73" s="147"/>
      <c r="F73" s="141"/>
      <c r="G73" s="141"/>
      <c r="H73" s="151"/>
      <c r="I73" s="140"/>
      <c r="J73" s="140"/>
      <c r="K73" s="140"/>
      <c r="L73" s="147"/>
      <c r="M73" s="153"/>
      <c r="N73" s="147"/>
      <c r="O73" s="141"/>
      <c r="P73" s="141"/>
      <c r="Q73" s="151"/>
      <c r="R73" s="140"/>
      <c r="S73" s="140"/>
    </row>
    <row r="74" ht="33.75" customHeight="1">
      <c r="A74" s="140"/>
      <c r="B74" s="140"/>
      <c r="C74" s="147"/>
      <c r="D74" s="153"/>
      <c r="E74" s="147"/>
      <c r="F74" s="141"/>
      <c r="G74" s="141"/>
      <c r="H74" s="151"/>
      <c r="I74" s="140"/>
      <c r="J74" s="140"/>
      <c r="K74" s="140"/>
      <c r="L74" s="147"/>
      <c r="M74" s="153"/>
      <c r="N74" s="147"/>
      <c r="O74" s="141"/>
      <c r="P74" s="141"/>
      <c r="Q74" s="151"/>
      <c r="R74" s="140"/>
      <c r="S74" s="140"/>
    </row>
    <row r="75">
      <c r="A75" s="140"/>
      <c r="B75" s="140"/>
      <c r="C75" s="147"/>
      <c r="D75" s="153"/>
      <c r="E75" s="147"/>
      <c r="F75" s="141"/>
      <c r="G75" s="141"/>
      <c r="H75" s="151"/>
      <c r="I75" s="140"/>
      <c r="J75" s="140"/>
      <c r="K75" s="140"/>
      <c r="L75" s="147"/>
      <c r="M75" s="153"/>
      <c r="N75" s="147"/>
      <c r="O75" s="141"/>
      <c r="P75" s="141"/>
      <c r="Q75" s="151"/>
      <c r="R75" s="140"/>
      <c r="S75" s="140"/>
    </row>
    <row r="76">
      <c r="A76" s="140"/>
      <c r="B76" s="140"/>
      <c r="C76" s="147"/>
      <c r="D76" s="153"/>
      <c r="E76" s="147"/>
      <c r="F76" s="141"/>
      <c r="G76" s="141"/>
      <c r="H76" s="151"/>
      <c r="I76" s="140"/>
      <c r="J76" s="140"/>
      <c r="K76" s="140"/>
      <c r="L76" s="147"/>
      <c r="M76" s="153"/>
      <c r="N76" s="147"/>
      <c r="O76" s="141"/>
      <c r="P76" s="141"/>
      <c r="Q76" s="151"/>
      <c r="R76" s="140"/>
      <c r="S76" s="140"/>
    </row>
    <row r="77">
      <c r="A77" s="140"/>
      <c r="B77" s="140"/>
      <c r="C77" s="147"/>
      <c r="D77" s="153"/>
      <c r="E77" s="147"/>
      <c r="F77" s="141"/>
      <c r="G77" s="141"/>
      <c r="H77" s="151"/>
      <c r="I77" s="140"/>
      <c r="J77" s="140"/>
      <c r="K77" s="140"/>
      <c r="L77" s="147"/>
      <c r="M77" s="153"/>
      <c r="N77" s="147"/>
      <c r="O77" s="141"/>
      <c r="P77" s="141"/>
      <c r="Q77" s="151"/>
      <c r="R77" s="140"/>
      <c r="S77" s="140"/>
    </row>
    <row r="78">
      <c r="A78" s="140"/>
      <c r="B78" s="140"/>
      <c r="C78" s="147"/>
      <c r="D78" s="153"/>
      <c r="E78" s="147"/>
      <c r="F78" s="141"/>
      <c r="G78" s="141"/>
      <c r="H78" s="151"/>
      <c r="I78" s="140"/>
      <c r="J78" s="140"/>
      <c r="K78" s="140"/>
      <c r="L78" s="147"/>
      <c r="M78" s="153"/>
      <c r="N78" s="147"/>
      <c r="O78" s="141"/>
      <c r="P78" s="141"/>
      <c r="Q78" s="151"/>
      <c r="R78" s="140"/>
      <c r="S78" s="140"/>
    </row>
    <row r="79">
      <c r="A79" s="140"/>
      <c r="B79" s="140"/>
      <c r="C79" s="147"/>
      <c r="D79" s="153"/>
      <c r="E79" s="147"/>
      <c r="F79" s="141"/>
      <c r="G79" s="141"/>
      <c r="H79" s="151"/>
      <c r="I79" s="140"/>
      <c r="J79" s="140"/>
      <c r="K79" s="140"/>
      <c r="L79" s="147"/>
      <c r="M79" s="153"/>
      <c r="N79" s="147"/>
      <c r="O79" s="141"/>
      <c r="P79" s="141"/>
      <c r="Q79" s="151"/>
      <c r="R79" s="140"/>
      <c r="S79" s="140"/>
    </row>
    <row r="80">
      <c r="A80" s="140"/>
      <c r="B80" s="140"/>
      <c r="C80" s="147"/>
      <c r="D80" s="153"/>
      <c r="E80" s="147"/>
      <c r="F80" s="141"/>
      <c r="G80" s="141"/>
      <c r="H80" s="151"/>
      <c r="I80" s="140"/>
      <c r="J80" s="140"/>
      <c r="K80" s="140"/>
      <c r="L80" s="147"/>
      <c r="M80" s="153"/>
      <c r="N80" s="147"/>
      <c r="O80" s="141"/>
      <c r="P80" s="141"/>
      <c r="Q80" s="151"/>
      <c r="R80" s="140"/>
      <c r="S80" s="140"/>
    </row>
    <row r="81">
      <c r="A81" s="154"/>
      <c r="B81" s="154"/>
      <c r="C81" s="147"/>
      <c r="D81" s="153"/>
      <c r="E81" s="147"/>
      <c r="F81" s="141"/>
      <c r="G81" s="141"/>
      <c r="H81" s="151"/>
      <c r="I81" s="154"/>
      <c r="J81" s="154"/>
      <c r="K81" s="154"/>
      <c r="L81" s="147"/>
      <c r="M81" s="153"/>
      <c r="N81" s="147"/>
      <c r="O81" s="141"/>
      <c r="P81" s="141"/>
      <c r="Q81" s="151"/>
      <c r="R81" s="154"/>
      <c r="S81" s="154"/>
    </row>
    <row r="82">
      <c r="A82" s="154"/>
      <c r="B82" s="154"/>
      <c r="C82" s="147"/>
      <c r="D82" s="153"/>
      <c r="E82" s="147"/>
      <c r="F82" s="141"/>
      <c r="G82" s="141"/>
      <c r="H82" s="151"/>
      <c r="I82" s="154"/>
      <c r="J82" s="154"/>
      <c r="K82" s="154"/>
      <c r="L82" s="147"/>
      <c r="M82" s="153"/>
      <c r="N82" s="147"/>
      <c r="O82" s="141"/>
      <c r="P82" s="141"/>
      <c r="Q82" s="151"/>
      <c r="R82" s="154"/>
      <c r="S82" s="154"/>
    </row>
    <row r="83">
      <c r="A83" s="154"/>
      <c r="B83" s="154"/>
      <c r="C83" s="147"/>
      <c r="D83" s="153"/>
      <c r="E83" s="147"/>
      <c r="F83" s="141"/>
      <c r="G83" s="141"/>
      <c r="H83" s="151"/>
      <c r="I83" s="154"/>
      <c r="J83" s="154"/>
      <c r="K83" s="154"/>
      <c r="L83" s="147"/>
      <c r="M83" s="153"/>
      <c r="N83" s="147"/>
      <c r="O83" s="141"/>
      <c r="P83" s="141"/>
      <c r="Q83" s="151"/>
      <c r="R83" s="154"/>
      <c r="S83" s="154"/>
    </row>
    <row r="84">
      <c r="A84" s="154"/>
      <c r="B84" s="154"/>
      <c r="C84" s="147"/>
      <c r="D84" s="153"/>
      <c r="E84" s="147"/>
      <c r="F84" s="141"/>
      <c r="G84" s="141"/>
      <c r="H84" s="151"/>
      <c r="I84" s="154"/>
      <c r="J84" s="154"/>
      <c r="K84" s="154"/>
      <c r="L84" s="147"/>
      <c r="M84" s="153"/>
      <c r="N84" s="147"/>
      <c r="O84" s="141"/>
      <c r="P84" s="141"/>
      <c r="Q84" s="151"/>
      <c r="R84" s="154"/>
      <c r="S84" s="154"/>
    </row>
    <row r="85">
      <c r="A85" s="154"/>
      <c r="B85" s="154"/>
      <c r="C85" s="147"/>
      <c r="D85" s="153"/>
      <c r="E85" s="147"/>
      <c r="F85" s="141"/>
      <c r="G85" s="141"/>
      <c r="H85" s="151"/>
      <c r="I85" s="154"/>
      <c r="J85" s="154"/>
      <c r="K85" s="154"/>
      <c r="L85" s="147"/>
      <c r="M85" s="153"/>
      <c r="N85" s="147"/>
      <c r="O85" s="141"/>
      <c r="P85" s="141"/>
      <c r="Q85" s="151"/>
      <c r="R85" s="154"/>
      <c r="S85" s="154"/>
    </row>
    <row r="86">
      <c r="A86" s="154"/>
      <c r="B86" s="154"/>
      <c r="C86" s="147"/>
      <c r="D86" s="153"/>
      <c r="E86" s="147"/>
      <c r="F86" s="141"/>
      <c r="G86" s="141"/>
      <c r="H86" s="151"/>
      <c r="I86" s="154"/>
      <c r="J86" s="154"/>
      <c r="K86" s="154"/>
      <c r="L86" s="147"/>
      <c r="M86" s="153"/>
      <c r="N86" s="147"/>
      <c r="O86" s="141"/>
      <c r="P86" s="141"/>
      <c r="Q86" s="151"/>
      <c r="R86" s="154"/>
      <c r="S86" s="154"/>
    </row>
    <row r="87">
      <c r="A87" s="154"/>
      <c r="B87" s="154"/>
      <c r="C87" s="147"/>
      <c r="D87" s="153"/>
      <c r="E87" s="147"/>
      <c r="F87" s="141"/>
      <c r="G87" s="141"/>
      <c r="H87" s="151"/>
      <c r="I87" s="154"/>
      <c r="J87" s="154"/>
      <c r="K87" s="154"/>
      <c r="L87" s="147"/>
      <c r="M87" s="153"/>
      <c r="N87" s="147"/>
      <c r="O87" s="141"/>
      <c r="P87" s="141"/>
      <c r="Q87" s="151"/>
      <c r="R87" s="154"/>
      <c r="S87" s="154"/>
    </row>
    <row r="88">
      <c r="A88" s="154"/>
      <c r="B88" s="154"/>
      <c r="C88" s="147"/>
      <c r="D88" s="153"/>
      <c r="E88" s="147"/>
      <c r="F88" s="141"/>
      <c r="G88" s="141"/>
      <c r="H88" s="151"/>
      <c r="I88" s="154"/>
      <c r="J88" s="154"/>
      <c r="K88" s="154"/>
      <c r="L88" s="147"/>
      <c r="M88" s="153"/>
      <c r="N88" s="147"/>
      <c r="O88" s="141"/>
      <c r="P88" s="141"/>
      <c r="Q88" s="151"/>
      <c r="R88" s="154"/>
      <c r="S88" s="154"/>
    </row>
    <row r="89">
      <c r="A89" s="154"/>
      <c r="B89" s="154"/>
      <c r="C89" s="147"/>
      <c r="D89" s="153"/>
      <c r="E89" s="147"/>
      <c r="F89" s="141"/>
      <c r="G89" s="141"/>
      <c r="H89" s="151"/>
      <c r="I89" s="154"/>
      <c r="J89" s="154"/>
      <c r="K89" s="154"/>
      <c r="L89" s="147"/>
      <c r="M89" s="153"/>
      <c r="N89" s="147"/>
      <c r="O89" s="141"/>
      <c r="P89" s="141"/>
      <c r="Q89" s="151"/>
      <c r="R89" s="154"/>
      <c r="S89" s="154"/>
    </row>
  </sheetData>
  <mergeCells count="6">
    <mergeCell ref="C1:H1"/>
    <mergeCell ref="L1:Q1"/>
    <mergeCell ref="C2:H2"/>
    <mergeCell ref="L2:Q2"/>
    <mergeCell ref="C3:H3"/>
    <mergeCell ref="L3:Q3"/>
  </mergeCells>
  <dataValidations>
    <dataValidation type="list" allowBlank="1" showErrorMessage="1" sqref="A1:C1 I1:L1 R1:S1">
      <formula1>'All Competencies'!$A$3:$A89</formula1>
    </dataValidation>
  </dataValidations>
  <hyperlinks>
    <hyperlink r:id="rId1" ref="D5"/>
    <hyperlink r:id="rId2" ref="H5"/>
    <hyperlink r:id="rId3" ref="M5"/>
    <hyperlink r:id="rId4" ref="Q5"/>
    <hyperlink r:id="rId5" ref="D6"/>
    <hyperlink r:id="rId6" ref="H6"/>
    <hyperlink r:id="rId7" ref="M6"/>
    <hyperlink r:id="rId8" ref="Q6"/>
    <hyperlink r:id="rId9" ref="D7"/>
    <hyperlink r:id="rId10" ref="H7"/>
    <hyperlink r:id="rId11" ref="M7"/>
    <hyperlink r:id="rId12" ref="Q7"/>
    <hyperlink r:id="rId13" ref="D8"/>
    <hyperlink r:id="rId14" ref="H8"/>
    <hyperlink r:id="rId15" ref="M8"/>
    <hyperlink r:id="rId16" ref="Q8"/>
    <hyperlink r:id="rId17" ref="D9"/>
    <hyperlink r:id="rId18" ref="M9"/>
    <hyperlink r:id="rId19" ref="D10"/>
    <hyperlink r:id="rId20" ref="M10"/>
    <hyperlink r:id="rId21" ref="D11"/>
    <hyperlink r:id="rId22" ref="M11"/>
    <hyperlink r:id="rId23" ref="D12"/>
    <hyperlink r:id="rId24" ref="M12"/>
    <hyperlink r:id="rId25" ref="D13"/>
    <hyperlink r:id="rId26" ref="M13"/>
    <hyperlink r:id="rId27" ref="D14"/>
    <hyperlink r:id="rId28" ref="M14"/>
    <hyperlink r:id="rId29" ref="D15"/>
    <hyperlink r:id="rId30" ref="M15"/>
    <hyperlink r:id="rId31" ref="D16"/>
    <hyperlink r:id="rId32" ref="M16"/>
    <hyperlink r:id="rId33" ref="D17"/>
    <hyperlink r:id="rId34" ref="M17"/>
    <hyperlink r:id="rId35" ref="D18"/>
    <hyperlink r:id="rId36" ref="M18"/>
    <hyperlink r:id="rId37" ref="D19"/>
    <hyperlink r:id="rId38" ref="M19"/>
    <hyperlink r:id="rId39" ref="D20"/>
    <hyperlink r:id="rId40" ref="M20"/>
    <hyperlink r:id="rId41" ref="D21"/>
    <hyperlink r:id="rId42" ref="M21"/>
    <hyperlink r:id="rId43" ref="D22"/>
    <hyperlink r:id="rId44" ref="M22"/>
    <hyperlink r:id="rId45" ref="D23"/>
    <hyperlink r:id="rId46" ref="M23"/>
    <hyperlink r:id="rId47" ref="D24"/>
    <hyperlink r:id="rId48" ref="M24"/>
    <hyperlink r:id="rId49" ref="D25"/>
    <hyperlink r:id="rId50" ref="M25"/>
    <hyperlink r:id="rId51" ref="D26"/>
    <hyperlink r:id="rId52" ref="M26"/>
    <hyperlink r:id="rId53" ref="D27"/>
    <hyperlink r:id="rId54" ref="M27"/>
    <hyperlink r:id="rId55" ref="D28"/>
    <hyperlink r:id="rId56" ref="M28"/>
    <hyperlink r:id="rId57" ref="D29"/>
    <hyperlink r:id="rId58" ref="M29"/>
    <hyperlink r:id="rId59" ref="D30"/>
    <hyperlink r:id="rId60" ref="M30"/>
    <hyperlink r:id="rId61" ref="D31"/>
    <hyperlink r:id="rId62" ref="M31"/>
    <hyperlink r:id="rId63" ref="D32"/>
    <hyperlink r:id="rId64" ref="M32"/>
    <hyperlink r:id="rId65" ref="D33"/>
    <hyperlink r:id="rId66" ref="M33"/>
    <hyperlink r:id="rId67" ref="D34"/>
    <hyperlink r:id="rId68" ref="M34"/>
    <hyperlink r:id="rId69" ref="D35"/>
    <hyperlink r:id="rId70" ref="M35"/>
    <hyperlink r:id="rId71" ref="D36"/>
    <hyperlink r:id="rId72" ref="M36"/>
    <hyperlink r:id="rId73" ref="D37"/>
    <hyperlink r:id="rId74" ref="M37"/>
    <hyperlink r:id="rId75" ref="D38"/>
    <hyperlink r:id="rId76" ref="M38"/>
    <hyperlink r:id="rId77" ref="D39"/>
    <hyperlink r:id="rId78" ref="M39"/>
    <hyperlink r:id="rId79" ref="D40"/>
    <hyperlink r:id="rId80" ref="M40"/>
    <hyperlink r:id="rId81" ref="D41"/>
    <hyperlink r:id="rId82" ref="M41"/>
    <hyperlink r:id="rId83" ref="D42"/>
    <hyperlink r:id="rId84" ref="M42"/>
    <hyperlink r:id="rId85" ref="D43"/>
    <hyperlink r:id="rId86" ref="M43"/>
    <hyperlink r:id="rId87" ref="D44"/>
    <hyperlink r:id="rId88" ref="M44"/>
    <hyperlink r:id="rId89" ref="D45"/>
    <hyperlink r:id="rId90" ref="M45"/>
    <hyperlink r:id="rId91" ref="D46"/>
    <hyperlink r:id="rId92" ref="M46"/>
    <hyperlink r:id="rId93" ref="D47"/>
    <hyperlink r:id="rId94" ref="M47"/>
    <hyperlink r:id="rId95" ref="D48"/>
    <hyperlink r:id="rId96" ref="M48"/>
    <hyperlink r:id="rId97" ref="D49"/>
    <hyperlink r:id="rId98" ref="M49"/>
    <hyperlink r:id="rId99" ref="D50"/>
    <hyperlink r:id="rId100" ref="M50"/>
    <hyperlink r:id="rId101" ref="D51"/>
    <hyperlink r:id="rId102" ref="M51"/>
    <hyperlink r:id="rId103" ref="D52"/>
    <hyperlink r:id="rId104" ref="M52"/>
    <hyperlink r:id="rId105" ref="D53"/>
    <hyperlink r:id="rId106" ref="M53"/>
    <hyperlink r:id="rId107" ref="D54"/>
    <hyperlink r:id="rId108" ref="M54"/>
    <hyperlink r:id="rId109" ref="D55"/>
    <hyperlink r:id="rId110" ref="M55"/>
    <hyperlink r:id="rId111" ref="D56"/>
    <hyperlink r:id="rId112" ref="M56"/>
    <hyperlink r:id="rId113" ref="M57"/>
    <hyperlink r:id="rId114" ref="M58"/>
    <hyperlink r:id="rId115" ref="M59"/>
    <hyperlink r:id="rId116" ref="M60"/>
    <hyperlink r:id="rId117" ref="M61"/>
  </hyperlinks>
  <drawing r:id="rId118"/>
</worksheet>
</file>